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defaultThemeVersion="124226"/>
  <bookViews>
    <workbookView xWindow="45" yWindow="-120" windowWidth="1980" windowHeight="15870" tabRatio="500"/>
  </bookViews>
  <sheets>
    <sheet name="Basic Worksheet" sheetId="1" r:id="rId1"/>
    <sheet name="Energy Partitioning" sheetId="2" r:id="rId2"/>
  </sheets>
  <definedNames>
    <definedName name="tau_c">-14.37</definedName>
    <definedName name="tau_d">-37.83</definedName>
  </definedNames>
  <calcPr calcId="145621"/>
</workbook>
</file>

<file path=xl/calcChain.xml><?xml version="1.0" encoding="utf-8"?>
<calcChain xmlns="http://schemas.openxmlformats.org/spreadsheetml/2006/main">
  <c r="F2" i="1" l="1"/>
  <c r="F4" i="1" s="1"/>
  <c r="F5" i="1" s="1"/>
  <c r="F6" i="1" s="1"/>
  <c r="F7" i="1" s="1"/>
  <c r="D2" i="1"/>
  <c r="E2" i="1"/>
  <c r="E3" i="1" s="1"/>
  <c r="E4" i="1" s="1"/>
  <c r="E5" i="1" s="1"/>
  <c r="E6" i="1" s="1"/>
  <c r="E7" i="1" s="1"/>
  <c r="E8" i="1" s="1"/>
  <c r="E9" i="1" s="1"/>
  <c r="E10" i="1" s="1"/>
  <c r="E11" i="1" s="1"/>
  <c r="E12" i="1" s="1"/>
  <c r="B9" i="2"/>
  <c r="B23" i="2"/>
  <c r="B16" i="2"/>
  <c r="B9" i="1"/>
  <c r="B17" i="2"/>
  <c r="B18" i="2" s="1"/>
  <c r="B20" i="2"/>
  <c r="B21" i="2"/>
  <c r="B22" i="2"/>
  <c r="B24" i="2"/>
  <c r="E6" i="2" s="1"/>
  <c r="B26" i="2"/>
  <c r="B32" i="2"/>
  <c r="F24" i="1" l="1"/>
  <c r="F25" i="1"/>
  <c r="F26" i="1" s="1"/>
  <c r="F27" i="1" s="1"/>
  <c r="F13" i="1"/>
  <c r="F3" i="1"/>
  <c r="F14" i="1"/>
  <c r="F15" i="1" s="1"/>
  <c r="F16" i="1" s="1"/>
  <c r="E13" i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F8" i="1"/>
  <c r="F9" i="1" s="1"/>
  <c r="F10" i="1" s="1"/>
  <c r="F11" i="1" s="1"/>
  <c r="F12" i="1" s="1"/>
  <c r="F17" i="1" s="1"/>
  <c r="F18" i="1" s="1"/>
  <c r="F19" i="1" s="1"/>
  <c r="F20" i="1" s="1"/>
  <c r="F21" i="1" s="1"/>
  <c r="F22" i="1" s="1"/>
  <c r="F23" i="1" s="1"/>
  <c r="L2" i="1"/>
  <c r="H2" i="1"/>
  <c r="I2" i="1" s="1"/>
  <c r="G2" i="1"/>
  <c r="N2" i="1"/>
  <c r="J2" i="1"/>
  <c r="D3" i="1"/>
  <c r="V2" i="1"/>
  <c r="M2" i="1"/>
  <c r="K2" i="1"/>
  <c r="B19" i="2"/>
  <c r="E4" i="2"/>
  <c r="G4" i="2" s="1"/>
  <c r="G6" i="2"/>
  <c r="E3" i="2"/>
  <c r="G3" i="2" s="1"/>
  <c r="E2" i="2"/>
  <c r="G2" i="2" s="1"/>
  <c r="B25" i="2"/>
  <c r="E5" i="2"/>
  <c r="G5" i="2" s="1"/>
  <c r="E7" i="2"/>
  <c r="G7" i="2" s="1"/>
  <c r="E8" i="2"/>
  <c r="G8" i="2" s="1"/>
  <c r="E9" i="2"/>
  <c r="B27" i="2"/>
  <c r="O2" i="1" l="1"/>
  <c r="Q2" i="1"/>
  <c r="T2" i="1" s="1"/>
  <c r="L3" i="1"/>
  <c r="H3" i="1"/>
  <c r="I3" i="1" s="1"/>
  <c r="K3" i="1"/>
  <c r="N3" i="1"/>
  <c r="D4" i="1"/>
  <c r="L4" i="1" s="1"/>
  <c r="G3" i="1"/>
  <c r="J3" i="1"/>
  <c r="M3" i="1"/>
  <c r="V3" i="1"/>
  <c r="F9" i="2"/>
  <c r="G9" i="2"/>
  <c r="F2" i="2"/>
  <c r="F4" i="2"/>
  <c r="F3" i="2"/>
  <c r="F5" i="2"/>
  <c r="F6" i="2"/>
  <c r="F7" i="2"/>
  <c r="F8" i="2"/>
  <c r="B31" i="2"/>
  <c r="B30" i="2"/>
  <c r="U2" i="1" l="1"/>
  <c r="X2" i="1" s="1"/>
  <c r="Y2" i="1" s="1"/>
  <c r="R2" i="1"/>
  <c r="D5" i="1"/>
  <c r="L5" i="1" s="1"/>
  <c r="J4" i="1"/>
  <c r="M4" i="1"/>
  <c r="V4" i="1"/>
  <c r="H4" i="1"/>
  <c r="I4" i="1" s="1"/>
  <c r="K4" i="1"/>
  <c r="N4" i="1"/>
  <c r="G4" i="1"/>
  <c r="O3" i="1"/>
  <c r="Q3" i="1"/>
  <c r="F37" i="2"/>
  <c r="B36" i="2"/>
  <c r="B37" i="2" s="1"/>
  <c r="C37" i="2" s="1"/>
  <c r="O4" i="1" l="1"/>
  <c r="Q4" i="1"/>
  <c r="U4" i="1" s="1"/>
  <c r="R3" i="1"/>
  <c r="T3" i="1"/>
  <c r="K5" i="1"/>
  <c r="D6" i="1"/>
  <c r="L6" i="1" s="1"/>
  <c r="G5" i="1"/>
  <c r="J5" i="1"/>
  <c r="M5" i="1"/>
  <c r="V5" i="1"/>
  <c r="H5" i="1"/>
  <c r="I5" i="1" s="1"/>
  <c r="N5" i="1"/>
  <c r="U3" i="1"/>
  <c r="F38" i="2"/>
  <c r="F40" i="2" s="1"/>
  <c r="D38" i="2"/>
  <c r="E37" i="2"/>
  <c r="E38" i="2"/>
  <c r="D37" i="2"/>
  <c r="C38" i="2"/>
  <c r="B38" i="2"/>
  <c r="B39" i="2" s="1"/>
  <c r="Q5" i="1" l="1"/>
  <c r="O5" i="1"/>
  <c r="U5" i="1" s="1"/>
  <c r="T4" i="1"/>
  <c r="X4" i="1" s="1"/>
  <c r="Y4" i="1" s="1"/>
  <c r="R4" i="1"/>
  <c r="T5" i="1"/>
  <c r="R5" i="1"/>
  <c r="D7" i="1"/>
  <c r="L7" i="1" s="1"/>
  <c r="K6" i="1"/>
  <c r="H6" i="1"/>
  <c r="I6" i="1" s="1"/>
  <c r="N6" i="1"/>
  <c r="M6" i="1"/>
  <c r="G6" i="1"/>
  <c r="J6" i="1"/>
  <c r="V6" i="1"/>
  <c r="X3" i="1"/>
  <c r="Y3" i="1" s="1"/>
  <c r="X5" i="1" l="1"/>
  <c r="Y5" i="1" s="1"/>
  <c r="O6" i="1"/>
  <c r="Q6" i="1"/>
  <c r="D8" i="1"/>
  <c r="L8" i="1" s="1"/>
  <c r="H7" i="1"/>
  <c r="I7" i="1" s="1"/>
  <c r="G7" i="1"/>
  <c r="K7" i="1"/>
  <c r="N7" i="1"/>
  <c r="J7" i="1"/>
  <c r="V7" i="1"/>
  <c r="M7" i="1"/>
  <c r="U6" i="1" l="1"/>
  <c r="O7" i="1"/>
  <c r="T6" i="1"/>
  <c r="R6" i="1"/>
  <c r="Q7" i="1"/>
  <c r="D9" i="1"/>
  <c r="V8" i="1"/>
  <c r="K8" i="1"/>
  <c r="G8" i="1"/>
  <c r="J8" i="1"/>
  <c r="H8" i="1"/>
  <c r="I8" i="1" s="1"/>
  <c r="N8" i="1"/>
  <c r="M8" i="1"/>
  <c r="X6" i="1" l="1"/>
  <c r="Y6" i="1" s="1"/>
  <c r="U7" i="1"/>
  <c r="Q8" i="1"/>
  <c r="R8" i="1" s="1"/>
  <c r="O8" i="1"/>
  <c r="D10" i="1"/>
  <c r="M9" i="1"/>
  <c r="H9" i="1"/>
  <c r="I9" i="1" s="1"/>
  <c r="N9" i="1"/>
  <c r="J9" i="1"/>
  <c r="V9" i="1"/>
  <c r="K9" i="1"/>
  <c r="L9" i="1"/>
  <c r="G9" i="1"/>
  <c r="T7" i="1"/>
  <c r="R7" i="1"/>
  <c r="O9" i="1" l="1"/>
  <c r="X7" i="1"/>
  <c r="Y7" i="1" s="1"/>
  <c r="T8" i="1"/>
  <c r="U8" i="1"/>
  <c r="D11" i="1"/>
  <c r="H10" i="1"/>
  <c r="I10" i="1" s="1"/>
  <c r="N10" i="1"/>
  <c r="J10" i="1"/>
  <c r="V10" i="1"/>
  <c r="K10" i="1"/>
  <c r="G10" i="1"/>
  <c r="M10" i="1"/>
  <c r="L10" i="1"/>
  <c r="Q9" i="1"/>
  <c r="X8" i="1" l="1"/>
  <c r="Y8" i="1" s="1"/>
  <c r="O10" i="1"/>
  <c r="R9" i="1"/>
  <c r="T9" i="1"/>
  <c r="D12" i="1"/>
  <c r="K11" i="1"/>
  <c r="G11" i="1"/>
  <c r="M11" i="1"/>
  <c r="H11" i="1"/>
  <c r="I11" i="1" s="1"/>
  <c r="N11" i="1"/>
  <c r="J11" i="1"/>
  <c r="V11" i="1"/>
  <c r="L11" i="1"/>
  <c r="Q10" i="1"/>
  <c r="U9" i="1"/>
  <c r="U10" i="1" l="1"/>
  <c r="Q11" i="1"/>
  <c r="T11" i="1" s="1"/>
  <c r="R10" i="1"/>
  <c r="T10" i="1"/>
  <c r="D13" i="1"/>
  <c r="H12" i="1"/>
  <c r="I12" i="1" s="1"/>
  <c r="N12" i="1"/>
  <c r="G12" i="1"/>
  <c r="J12" i="1"/>
  <c r="M12" i="1"/>
  <c r="V12" i="1"/>
  <c r="K12" i="1"/>
  <c r="L12" i="1"/>
  <c r="O11" i="1"/>
  <c r="X9" i="1"/>
  <c r="Y9" i="1" s="1"/>
  <c r="X10" i="1" l="1"/>
  <c r="Y10" i="1" s="1"/>
  <c r="O12" i="1"/>
  <c r="U11" i="1"/>
  <c r="X11" i="1" s="1"/>
  <c r="Y11" i="1" s="1"/>
  <c r="R11" i="1"/>
  <c r="J13" i="1"/>
  <c r="M13" i="1"/>
  <c r="D14" i="1"/>
  <c r="H13" i="1"/>
  <c r="I13" i="1" s="1"/>
  <c r="K13" i="1"/>
  <c r="N13" i="1"/>
  <c r="G13" i="1"/>
  <c r="V13" i="1"/>
  <c r="L13" i="1"/>
  <c r="Q12" i="1"/>
  <c r="Q13" i="1" l="1"/>
  <c r="R13" i="1" s="1"/>
  <c r="D15" i="1"/>
  <c r="G14" i="1"/>
  <c r="J14" i="1"/>
  <c r="K14" i="1"/>
  <c r="H14" i="1"/>
  <c r="I14" i="1" s="1"/>
  <c r="M14" i="1"/>
  <c r="V14" i="1"/>
  <c r="N14" i="1"/>
  <c r="L14" i="1"/>
  <c r="O13" i="1"/>
  <c r="R12" i="1"/>
  <c r="T12" i="1"/>
  <c r="U12" i="1"/>
  <c r="U13" i="1" l="1"/>
  <c r="T13" i="1"/>
  <c r="X12" i="1"/>
  <c r="Y12" i="1" s="1"/>
  <c r="D16" i="1"/>
  <c r="K15" i="1"/>
  <c r="M15" i="1"/>
  <c r="H15" i="1"/>
  <c r="I15" i="1" s="1"/>
  <c r="N15" i="1"/>
  <c r="J15" i="1"/>
  <c r="V15" i="1"/>
  <c r="G15" i="1"/>
  <c r="L15" i="1"/>
  <c r="O14" i="1"/>
  <c r="Q14" i="1"/>
  <c r="O15" i="1" l="1"/>
  <c r="X13" i="1"/>
  <c r="Y13" i="1" s="1"/>
  <c r="U14" i="1"/>
  <c r="T14" i="1"/>
  <c r="R14" i="1"/>
  <c r="D17" i="1"/>
  <c r="J16" i="1"/>
  <c r="K16" i="1"/>
  <c r="M16" i="1"/>
  <c r="N16" i="1"/>
  <c r="V16" i="1"/>
  <c r="H16" i="1"/>
  <c r="I16" i="1" s="1"/>
  <c r="G16" i="1"/>
  <c r="L16" i="1"/>
  <c r="Q15" i="1"/>
  <c r="X14" i="1" l="1"/>
  <c r="Y14" i="1" s="1"/>
  <c r="T15" i="1"/>
  <c r="R15" i="1"/>
  <c r="D18" i="1"/>
  <c r="M17" i="1"/>
  <c r="V17" i="1"/>
  <c r="H17" i="1"/>
  <c r="I17" i="1" s="1"/>
  <c r="G17" i="1"/>
  <c r="J17" i="1"/>
  <c r="K17" i="1"/>
  <c r="N17" i="1"/>
  <c r="L17" i="1"/>
  <c r="U15" i="1"/>
  <c r="O16" i="1"/>
  <c r="Q16" i="1"/>
  <c r="X15" i="1" l="1"/>
  <c r="Y15" i="1" s="1"/>
  <c r="Q17" i="1"/>
  <c r="T17" i="1" s="1"/>
  <c r="D19" i="1"/>
  <c r="G18" i="1"/>
  <c r="J18" i="1"/>
  <c r="K18" i="1"/>
  <c r="M18" i="1"/>
  <c r="N18" i="1"/>
  <c r="V18" i="1"/>
  <c r="H18" i="1"/>
  <c r="I18" i="1" s="1"/>
  <c r="L18" i="1"/>
  <c r="U16" i="1"/>
  <c r="O17" i="1"/>
  <c r="R16" i="1"/>
  <c r="T16" i="1"/>
  <c r="R17" i="1" l="1"/>
  <c r="U17" i="1"/>
  <c r="X17" i="1" s="1"/>
  <c r="Y17" i="1" s="1"/>
  <c r="Q18" i="1"/>
  <c r="R18" i="1" s="1"/>
  <c r="O18" i="1"/>
  <c r="D20" i="1"/>
  <c r="H19" i="1"/>
  <c r="I19" i="1" s="1"/>
  <c r="J19" i="1"/>
  <c r="V19" i="1"/>
  <c r="M19" i="1"/>
  <c r="N19" i="1"/>
  <c r="K19" i="1"/>
  <c r="G19" i="1"/>
  <c r="L19" i="1"/>
  <c r="X16" i="1"/>
  <c r="Y16" i="1" s="1"/>
  <c r="T18" i="1" l="1"/>
  <c r="U18" i="1"/>
  <c r="O19" i="1"/>
  <c r="Q19" i="1"/>
  <c r="D21" i="1"/>
  <c r="K20" i="1"/>
  <c r="V20" i="1"/>
  <c r="J20" i="1"/>
  <c r="G20" i="1"/>
  <c r="N20" i="1"/>
  <c r="H20" i="1"/>
  <c r="I20" i="1" s="1"/>
  <c r="M20" i="1"/>
  <c r="L20" i="1"/>
  <c r="X18" i="1" l="1"/>
  <c r="Y18" i="1" s="1"/>
  <c r="U19" i="1"/>
  <c r="Q20" i="1"/>
  <c r="T20" i="1" s="1"/>
  <c r="O20" i="1"/>
  <c r="D22" i="1"/>
  <c r="V21" i="1"/>
  <c r="K21" i="1"/>
  <c r="M21" i="1"/>
  <c r="J21" i="1"/>
  <c r="N21" i="1"/>
  <c r="H21" i="1"/>
  <c r="I21" i="1" s="1"/>
  <c r="G21" i="1"/>
  <c r="L21" i="1"/>
  <c r="R19" i="1"/>
  <c r="T19" i="1"/>
  <c r="X19" i="1" l="1"/>
  <c r="Y19" i="1" s="1"/>
  <c r="R20" i="1"/>
  <c r="U20" i="1"/>
  <c r="X20" i="1" s="1"/>
  <c r="Y20" i="1" s="1"/>
  <c r="D23" i="1"/>
  <c r="K22" i="1"/>
  <c r="G22" i="1"/>
  <c r="V22" i="1"/>
  <c r="M22" i="1"/>
  <c r="N22" i="1"/>
  <c r="J22" i="1"/>
  <c r="H22" i="1"/>
  <c r="I22" i="1" s="1"/>
  <c r="L22" i="1"/>
  <c r="O21" i="1"/>
  <c r="Q21" i="1"/>
  <c r="U21" i="1" l="1"/>
  <c r="Q22" i="1"/>
  <c r="R22" i="1" s="1"/>
  <c r="T21" i="1"/>
  <c r="R21" i="1"/>
  <c r="D24" i="1"/>
  <c r="G23" i="1"/>
  <c r="H23" i="1"/>
  <c r="I23" i="1" s="1"/>
  <c r="J23" i="1"/>
  <c r="K23" i="1"/>
  <c r="M23" i="1"/>
  <c r="N23" i="1"/>
  <c r="V23" i="1"/>
  <c r="L23" i="1"/>
  <c r="O22" i="1"/>
  <c r="U22" i="1" l="1"/>
  <c r="X21" i="1"/>
  <c r="Y21" i="1" s="1"/>
  <c r="T22" i="1"/>
  <c r="O23" i="1"/>
  <c r="Q23" i="1"/>
  <c r="T23" i="1" s="1"/>
  <c r="D25" i="1"/>
  <c r="N24" i="1"/>
  <c r="V24" i="1"/>
  <c r="G24" i="1"/>
  <c r="H24" i="1"/>
  <c r="I24" i="1" s="1"/>
  <c r="K24" i="1"/>
  <c r="J24" i="1"/>
  <c r="M24" i="1"/>
  <c r="L24" i="1"/>
  <c r="X22" i="1" l="1"/>
  <c r="Y22" i="1" s="1"/>
  <c r="R23" i="1"/>
  <c r="U23" i="1"/>
  <c r="X23" i="1" s="1"/>
  <c r="Y23" i="1" s="1"/>
  <c r="D26" i="1"/>
  <c r="H25" i="1"/>
  <c r="I25" i="1" s="1"/>
  <c r="N25" i="1"/>
  <c r="G25" i="1"/>
  <c r="V25" i="1"/>
  <c r="M25" i="1"/>
  <c r="J25" i="1"/>
  <c r="K25" i="1"/>
  <c r="L25" i="1"/>
  <c r="O24" i="1"/>
  <c r="Q24" i="1"/>
  <c r="U24" i="1" l="1"/>
  <c r="R24" i="1"/>
  <c r="T24" i="1"/>
  <c r="D27" i="1"/>
  <c r="N26" i="1"/>
  <c r="H26" i="1"/>
  <c r="I26" i="1" s="1"/>
  <c r="G26" i="1"/>
  <c r="K26" i="1"/>
  <c r="V26" i="1"/>
  <c r="M26" i="1"/>
  <c r="J26" i="1"/>
  <c r="L26" i="1"/>
  <c r="Q25" i="1"/>
  <c r="O25" i="1"/>
  <c r="X24" i="1" l="1"/>
  <c r="Y24" i="1" s="1"/>
  <c r="O26" i="1"/>
  <c r="U25" i="1"/>
  <c r="R25" i="1"/>
  <c r="T25" i="1"/>
  <c r="V27" i="1"/>
  <c r="G27" i="1"/>
  <c r="H27" i="1"/>
  <c r="I27" i="1" s="1"/>
  <c r="J27" i="1"/>
  <c r="K27" i="1"/>
  <c r="M27" i="1"/>
  <c r="N27" i="1"/>
  <c r="L27" i="1"/>
  <c r="Q26" i="1"/>
  <c r="X25" i="1" l="1"/>
  <c r="Y25" i="1" s="1"/>
  <c r="Q27" i="1"/>
  <c r="R27" i="1" s="1"/>
  <c r="R26" i="1"/>
  <c r="T26" i="1"/>
  <c r="U26" i="1"/>
  <c r="O27" i="1"/>
  <c r="U27" i="1" l="1"/>
  <c r="T27" i="1"/>
  <c r="X26" i="1"/>
  <c r="Y26" i="1" s="1"/>
  <c r="X27" i="1" l="1"/>
  <c r="Y27" i="1" s="1"/>
</calcChain>
</file>

<file path=xl/sharedStrings.xml><?xml version="1.0" encoding="utf-8"?>
<sst xmlns="http://schemas.openxmlformats.org/spreadsheetml/2006/main" count="76" uniqueCount="44">
  <si>
    <t>Temperature</t>
  </si>
  <si>
    <t>Jmax</t>
  </si>
  <si>
    <t>J</t>
  </si>
  <si>
    <t>Vc,max @ 25C</t>
    <phoneticPr fontId="3" type="noConversion"/>
  </si>
  <si>
    <t>Jmax @ 25C</t>
    <phoneticPr fontId="3" type="noConversion"/>
  </si>
  <si>
    <t>Rd @ 25C</t>
    <phoneticPr fontId="3" type="noConversion"/>
  </si>
  <si>
    <t>TPU @ 25C</t>
    <phoneticPr fontId="3" type="noConversion"/>
  </si>
  <si>
    <t>Ci/Ca @ 25C</t>
    <phoneticPr fontId="3" type="noConversion"/>
  </si>
  <si>
    <t>[O2]</t>
    <phoneticPr fontId="3" type="noConversion"/>
  </si>
  <si>
    <t>Ca</t>
    <phoneticPr fontId="3" type="noConversion"/>
  </si>
  <si>
    <t>PPFD</t>
    <phoneticPr fontId="3" type="noConversion"/>
  </si>
  <si>
    <t>Ci</t>
    <phoneticPr fontId="0" type="noConversion"/>
  </si>
  <si>
    <t>Specificity</t>
    <phoneticPr fontId="3" type="noConversion"/>
  </si>
  <si>
    <t>Gamma*</t>
    <phoneticPr fontId="3" type="noConversion"/>
  </si>
  <si>
    <t>Kc</t>
    <phoneticPr fontId="3" type="noConversion"/>
  </si>
  <si>
    <t>Ko</t>
    <phoneticPr fontId="3" type="noConversion"/>
  </si>
  <si>
    <t>Q2</t>
    <phoneticPr fontId="3" type="noConversion"/>
  </si>
  <si>
    <t>theta</t>
    <phoneticPr fontId="3" type="noConversion"/>
  </si>
  <si>
    <t>An</t>
    <phoneticPr fontId="3" type="noConversion"/>
  </si>
  <si>
    <t>Rubisco-limited</t>
    <phoneticPr fontId="3" type="noConversion"/>
  </si>
  <si>
    <t xml:space="preserve">RuBP limited </t>
    <phoneticPr fontId="3" type="noConversion"/>
  </si>
  <si>
    <t xml:space="preserve">TPU Limited </t>
    <phoneticPr fontId="3" type="noConversion"/>
  </si>
  <si>
    <t>1-G*/Ci</t>
  </si>
  <si>
    <t>Quantum Yield</t>
  </si>
  <si>
    <t>Parameter</t>
    <phoneticPr fontId="3" type="noConversion"/>
  </si>
  <si>
    <t>Value</t>
    <phoneticPr fontId="3" type="noConversion"/>
  </si>
  <si>
    <t>Frac to PhotoResp</t>
    <phoneticPr fontId="3" type="noConversion"/>
  </si>
  <si>
    <t>e- requirements, O</t>
    <phoneticPr fontId="3" type="noConversion"/>
  </si>
  <si>
    <t>e- requirements, C</t>
    <phoneticPr fontId="3" type="noConversion"/>
  </si>
  <si>
    <t>phi</t>
    <phoneticPr fontId="3" type="noConversion"/>
  </si>
  <si>
    <t>Vc</t>
    <phoneticPr fontId="3" type="noConversion"/>
  </si>
  <si>
    <t>Vo</t>
    <phoneticPr fontId="3" type="noConversion"/>
  </si>
  <si>
    <t>Rd</t>
    <phoneticPr fontId="3" type="noConversion"/>
  </si>
  <si>
    <t>Rd</t>
    <phoneticPr fontId="3" type="noConversion"/>
  </si>
  <si>
    <t>NADPH Consumption</t>
    <phoneticPr fontId="3" type="noConversion"/>
  </si>
  <si>
    <t>ATP Consumption</t>
    <phoneticPr fontId="3" type="noConversion"/>
  </si>
  <si>
    <t>A</t>
  </si>
  <si>
    <t>PPFD</t>
  </si>
  <si>
    <t>Use Temperature Range?</t>
  </si>
  <si>
    <t>Increment</t>
  </si>
  <si>
    <t>Use Ca Range?</t>
  </si>
  <si>
    <t>Use PPFD Range?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</si>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</sst>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>
    <font>
      <sz val="10"/>
      <name val="Verdana"/>
    </font>
    <font>
      <b/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10"/>
      <name val="Symbol MT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0" fillId="0" borderId="0" xfId="0" applyFill="1" applyProtection="1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/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2" borderId="0" xfId="0" applyNumberFormat="1" applyFill="1"/>
    <xf numFmtId="2" fontId="0" fillId="0" borderId="0" xfId="0" applyNumberFormat="1" applyFill="1"/>
    <xf numFmtId="2" fontId="1" fillId="0" borderId="0" xfId="0" applyNumberFormat="1" applyFont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4" fillId="0" borderId="0" xfId="0" applyFont="1"/>
    <xf numFmtId="164" fontId="0" fillId="0" borderId="0" xfId="0" applyNumberFormat="1"/>
    <xf numFmtId="2" fontId="5" fillId="0" borderId="0" xfId="0" applyNumberFormat="1" applyFont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Ambient CO2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'Basic Worksheet'!$X$1</c:f>
              <c:strCache>
                <c:ptCount val="1"/>
                <c:pt idx="0">
                  <c:v>An</c:v>
                </c:pt>
              </c:strCache>
            </c:strRef>
          </c:tx>
          <c:spPr>
            <a:ln w="28575">
              <a:noFill/>
            </a:ln>
          </c:spPr>
          <c:xVal>
            <c:numRef>
              <c:f>'Basic Worksheet'!$E$2:$E$52</c:f>
              <c:numCache>
                <c:formatCode>General</c:formatCode>
                <c:ptCount val="51"/>
                <c:pt idx="0">
                  <c:v>375</c:v>
                </c:pt>
                <c:pt idx="1">
                  <c:v>375</c:v>
                </c:pt>
                <c:pt idx="2">
                  <c:v>375</c:v>
                </c:pt>
                <c:pt idx="3">
                  <c:v>375</c:v>
                </c:pt>
                <c:pt idx="4">
                  <c:v>375</c:v>
                </c:pt>
                <c:pt idx="5">
                  <c:v>375</c:v>
                </c:pt>
                <c:pt idx="6">
                  <c:v>375</c:v>
                </c:pt>
                <c:pt idx="7">
                  <c:v>375</c:v>
                </c:pt>
                <c:pt idx="8">
                  <c:v>375</c:v>
                </c:pt>
                <c:pt idx="9">
                  <c:v>375</c:v>
                </c:pt>
                <c:pt idx="10">
                  <c:v>375</c:v>
                </c:pt>
                <c:pt idx="11">
                  <c:v>375</c:v>
                </c:pt>
                <c:pt idx="12">
                  <c:v>375</c:v>
                </c:pt>
                <c:pt idx="13">
                  <c:v>375</c:v>
                </c:pt>
                <c:pt idx="14">
                  <c:v>375</c:v>
                </c:pt>
                <c:pt idx="15">
                  <c:v>375</c:v>
                </c:pt>
                <c:pt idx="16">
                  <c:v>375</c:v>
                </c:pt>
                <c:pt idx="17">
                  <c:v>375</c:v>
                </c:pt>
                <c:pt idx="18">
                  <c:v>375</c:v>
                </c:pt>
                <c:pt idx="19">
                  <c:v>375</c:v>
                </c:pt>
                <c:pt idx="20">
                  <c:v>375</c:v>
                </c:pt>
                <c:pt idx="21">
                  <c:v>375</c:v>
                </c:pt>
                <c:pt idx="22">
                  <c:v>375</c:v>
                </c:pt>
                <c:pt idx="23">
                  <c:v>375</c:v>
                </c:pt>
                <c:pt idx="24">
                  <c:v>375</c:v>
                </c:pt>
                <c:pt idx="25">
                  <c:v>375</c:v>
                </c:pt>
              </c:numCache>
            </c:numRef>
          </c:xVal>
          <c:yVal>
            <c:numRef>
              <c:f>'Basic Worksheet'!$X$2:$X$52</c:f>
              <c:numCache>
                <c:formatCode>0.00</c:formatCode>
                <c:ptCount val="51"/>
                <c:pt idx="0">
                  <c:v>9.7561801691215901</c:v>
                </c:pt>
                <c:pt idx="1">
                  <c:v>11.360169438357131</c:v>
                </c:pt>
                <c:pt idx="2">
                  <c:v>13.18120483002463</c:v>
                </c:pt>
                <c:pt idx="3">
                  <c:v>15.090897665425212</c:v>
                </c:pt>
                <c:pt idx="4">
                  <c:v>15.889521648874632</c:v>
                </c:pt>
                <c:pt idx="5">
                  <c:v>16.537696692161894</c:v>
                </c:pt>
                <c:pt idx="6">
                  <c:v>16.154221316012872</c:v>
                </c:pt>
                <c:pt idx="7">
                  <c:v>15.286996841427463</c:v>
                </c:pt>
                <c:pt idx="8">
                  <c:v>14.196096552632291</c:v>
                </c:pt>
                <c:pt idx="9">
                  <c:v>12.91110306731205</c:v>
                </c:pt>
                <c:pt idx="10">
                  <c:v>11.457417808656215</c:v>
                </c:pt>
                <c:pt idx="11">
                  <c:v>9.8549484617497072</c:v>
                </c:pt>
                <c:pt idx="12">
                  <c:v>8.1177882990202548</c:v>
                </c:pt>
                <c:pt idx="13">
                  <c:v>6.2545429342337115</c:v>
                </c:pt>
                <c:pt idx="14">
                  <c:v>4.2690095949871329</c:v>
                </c:pt>
                <c:pt idx="15">
                  <c:v>2.1609942794293477</c:v>
                </c:pt>
                <c:pt idx="16">
                  <c:v>-7.2870162556587292E-2</c:v>
                </c:pt>
                <c:pt idx="17">
                  <c:v>-2.4383809693813396</c:v>
                </c:pt>
                <c:pt idx="18">
                  <c:v>-4.9431313679673581</c:v>
                </c:pt>
                <c:pt idx="19">
                  <c:v>-7.5959933979007506</c:v>
                </c:pt>
                <c:pt idx="20">
                  <c:v>-10.406711266354286</c:v>
                </c:pt>
                <c:pt idx="21">
                  <c:v>-13.385592079574597</c:v>
                </c:pt>
                <c:pt idx="22">
                  <c:v>-16.543278589791228</c:v>
                </c:pt>
                <c:pt idx="23">
                  <c:v>-19.890588882123183</c:v>
                </c:pt>
                <c:pt idx="24">
                  <c:v>-23.438409414507277</c:v>
                </c:pt>
                <c:pt idx="25">
                  <c:v>-27.197629762197899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457344"/>
        <c:axId val="114890240"/>
      </c:scatterChart>
      <c:valAx>
        <c:axId val="12645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4890240"/>
        <c:crosses val="autoZero"/>
        <c:crossBetween val="midCat"/>
      </c:valAx>
      <c:valAx>
        <c:axId val="114890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264573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'Energy Partitioning'!$A$36:$A$39</c:f>
              <c:strCache>
                <c:ptCount val="4"/>
                <c:pt idx="0">
                  <c:v>An</c:v>
                </c:pt>
                <c:pt idx="1">
                  <c:v>Vc</c:v>
                </c:pt>
                <c:pt idx="2">
                  <c:v>Vo</c:v>
                </c:pt>
                <c:pt idx="3">
                  <c:v>Rd</c:v>
                </c:pt>
              </c:strCache>
            </c:strRef>
          </c:cat>
          <c:val>
            <c:numRef>
              <c:f>'Energy Partitioning'!$B$36:$B$39</c:f>
              <c:numCache>
                <c:formatCode>0.00</c:formatCode>
                <c:ptCount val="4"/>
                <c:pt idx="0">
                  <c:v>15.718680132124653</c:v>
                </c:pt>
                <c:pt idx="1">
                  <c:v>20.790125301221579</c:v>
                </c:pt>
                <c:pt idx="2">
                  <c:v>7.930881894667567</c:v>
                </c:pt>
                <c:pt idx="3">
                  <c:v>1.1060042217631421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19360"/>
        <c:axId val="145520896"/>
      </c:barChart>
      <c:catAx>
        <c:axId val="145519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45520896"/>
        <c:crosses val="autoZero"/>
        <c:auto val="1"/>
        <c:lblAlgn val="ctr"/>
        <c:lblOffset val="100"/>
        <c:noMultiLvlLbl val="0"/>
      </c:catAx>
      <c:valAx>
        <c:axId val="145520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Flux (</a:t>
                </a:r>
                <a:r>
                  <a:rPr lang="en-US">
                    <a:latin typeface="Symbol MT" pitchFamily="18" charset="2"/>
                  </a:rPr>
                  <a:t>m</a:t>
                </a:r>
                <a:r>
                  <a:rPr lang="en-US"/>
                  <a:t>mol</a:t>
                </a:r>
                <a:r>
                  <a:rPr lang="en-US" baseline="0"/>
                  <a:t> m</a:t>
                </a:r>
                <a:r>
                  <a:rPr lang="en-US" baseline="30000"/>
                  <a:t>-2</a:t>
                </a:r>
                <a:r>
                  <a:rPr lang="en-US" baseline="0"/>
                  <a:t> s</a:t>
                </a:r>
                <a:r>
                  <a:rPr lang="en-US" baseline="30000"/>
                  <a:t>-1</a:t>
                </a:r>
                <a:r>
                  <a:rPr lang="en-US" baseline="0"/>
                  <a:t>)</a:t>
                </a: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551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Intercellular CO2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'Basic Worksheet'!$X$1</c:f>
              <c:strCache>
                <c:ptCount val="1"/>
                <c:pt idx="0">
                  <c:v>An</c:v>
                </c:pt>
              </c:strCache>
            </c:strRef>
          </c:tx>
          <c:spPr>
            <a:ln w="28575">
              <a:noFill/>
            </a:ln>
          </c:spPr>
          <c:xVal>
            <c:numRef>
              <c:f>'Basic Worksheet'!$G$2:$G$52</c:f>
              <c:numCache>
                <c:formatCode>General</c:formatCode>
                <c:ptCount val="51"/>
                <c:pt idx="0">
                  <c:v>352.49599172128018</c:v>
                </c:pt>
                <c:pt idx="1">
                  <c:v>330.56959632445916</c:v>
                </c:pt>
                <c:pt idx="2">
                  <c:v>310.68823864501604</c:v>
                </c:pt>
                <c:pt idx="3">
                  <c:v>292.69988847097767</c:v>
                </c:pt>
                <c:pt idx="4">
                  <c:v>276.45251559037075</c:v>
                </c:pt>
                <c:pt idx="5">
                  <c:v>261.79408979122189</c:v>
                </c:pt>
                <c:pt idx="6">
                  <c:v>248.57258086155781</c:v>
                </c:pt>
                <c:pt idx="7">
                  <c:v>236.63595858940536</c:v>
                </c:pt>
                <c:pt idx="8">
                  <c:v>225.83219276279101</c:v>
                </c:pt>
                <c:pt idx="9">
                  <c:v>216.00925316974167</c:v>
                </c:pt>
                <c:pt idx="10">
                  <c:v>207.01510959828408</c:v>
                </c:pt>
                <c:pt idx="11">
                  <c:v>198.69773183644452</c:v>
                </c:pt>
                <c:pt idx="12">
                  <c:v>190.90508967225023</c:v>
                </c:pt>
                <c:pt idx="13">
                  <c:v>183.48515289372773</c:v>
                </c:pt>
                <c:pt idx="14">
                  <c:v>176.28589128890363</c:v>
                </c:pt>
                <c:pt idx="15">
                  <c:v>169.15527464580467</c:v>
                </c:pt>
                <c:pt idx="16">
                  <c:v>161.94127275245737</c:v>
                </c:pt>
                <c:pt idx="17">
                  <c:v>154.49185539688884</c:v>
                </c:pt>
                <c:pt idx="18">
                  <c:v>146.65499236712569</c:v>
                </c:pt>
                <c:pt idx="19">
                  <c:v>138.27865345119434</c:v>
                </c:pt>
                <c:pt idx="20">
                  <c:v>129.2108084371217</c:v>
                </c:pt>
                <c:pt idx="21">
                  <c:v>119.2994271129344</c:v>
                </c:pt>
                <c:pt idx="22">
                  <c:v>108.39247926665925</c:v>
                </c:pt>
                <c:pt idx="23">
                  <c:v>96.337934686322896</c:v>
                </c:pt>
                <c:pt idx="24">
                  <c:v>82.98376315995192</c:v>
                </c:pt>
                <c:pt idx="25">
                  <c:v>68.17793447557321</c:v>
                </c:pt>
              </c:numCache>
            </c:numRef>
          </c:xVal>
          <c:yVal>
            <c:numRef>
              <c:f>'Basic Worksheet'!$X$2:$X$52</c:f>
              <c:numCache>
                <c:formatCode>0.00</c:formatCode>
                <c:ptCount val="51"/>
                <c:pt idx="0">
                  <c:v>9.7561801691215901</c:v>
                </c:pt>
                <c:pt idx="1">
                  <c:v>11.360169438357131</c:v>
                </c:pt>
                <c:pt idx="2">
                  <c:v>13.18120483002463</c:v>
                </c:pt>
                <c:pt idx="3">
                  <c:v>15.090897665425212</c:v>
                </c:pt>
                <c:pt idx="4">
                  <c:v>15.889521648874632</c:v>
                </c:pt>
                <c:pt idx="5">
                  <c:v>16.537696692161894</c:v>
                </c:pt>
                <c:pt idx="6">
                  <c:v>16.154221316012872</c:v>
                </c:pt>
                <c:pt idx="7">
                  <c:v>15.286996841427463</c:v>
                </c:pt>
                <c:pt idx="8">
                  <c:v>14.196096552632291</c:v>
                </c:pt>
                <c:pt idx="9">
                  <c:v>12.91110306731205</c:v>
                </c:pt>
                <c:pt idx="10">
                  <c:v>11.457417808656215</c:v>
                </c:pt>
                <c:pt idx="11">
                  <c:v>9.8549484617497072</c:v>
                </c:pt>
                <c:pt idx="12">
                  <c:v>8.1177882990202548</c:v>
                </c:pt>
                <c:pt idx="13">
                  <c:v>6.2545429342337115</c:v>
                </c:pt>
                <c:pt idx="14">
                  <c:v>4.2690095949871329</c:v>
                </c:pt>
                <c:pt idx="15">
                  <c:v>2.1609942794293477</c:v>
                </c:pt>
                <c:pt idx="16">
                  <c:v>-7.2870162556587292E-2</c:v>
                </c:pt>
                <c:pt idx="17">
                  <c:v>-2.4383809693813396</c:v>
                </c:pt>
                <c:pt idx="18">
                  <c:v>-4.9431313679673581</c:v>
                </c:pt>
                <c:pt idx="19">
                  <c:v>-7.5959933979007506</c:v>
                </c:pt>
                <c:pt idx="20">
                  <c:v>-10.406711266354286</c:v>
                </c:pt>
                <c:pt idx="21">
                  <c:v>-13.385592079574597</c:v>
                </c:pt>
                <c:pt idx="22">
                  <c:v>-16.543278589791228</c:v>
                </c:pt>
                <c:pt idx="23">
                  <c:v>-19.890588882123183</c:v>
                </c:pt>
                <c:pt idx="24">
                  <c:v>-23.438409414507277</c:v>
                </c:pt>
                <c:pt idx="25">
                  <c:v>-27.197629762197899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02912"/>
        <c:axId val="114905088"/>
      </c:scatterChart>
      <c:valAx>
        <c:axId val="11490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4905088"/>
        <c:crosses val="autoZero"/>
        <c:crossBetween val="midCat"/>
      </c:valAx>
      <c:valAx>
        <c:axId val="11490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149029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'Basic Worksheet'!$X$1</c:f>
              <c:strCache>
                <c:ptCount val="1"/>
                <c:pt idx="0">
                  <c:v>An</c:v>
                </c:pt>
              </c:strCache>
            </c:strRef>
          </c:tx>
          <c:spPr>
            <a:ln w="28575">
              <a:noFill/>
            </a:ln>
          </c:spPr>
          <c:xVal>
            <c:numRef>
              <c:f>'Basic Worksheet'!$D$2:$D$52</c:f>
              <c:numCache>
                <c:formatCode>General</c:formatCode>
                <c:ptCount val="51"/>
                <c:pt idx="0">
                  <c:v>15</c:v>
                </c:pt>
                <c:pt idx="1">
                  <c:v>17</c:v>
                </c:pt>
                <c:pt idx="2">
                  <c:v>19</c:v>
                </c:pt>
                <c:pt idx="3">
                  <c:v>21</c:v>
                </c:pt>
                <c:pt idx="4">
                  <c:v>23</c:v>
                </c:pt>
                <c:pt idx="5">
                  <c:v>25</c:v>
                </c:pt>
                <c:pt idx="6">
                  <c:v>27</c:v>
                </c:pt>
                <c:pt idx="7">
                  <c:v>29</c:v>
                </c:pt>
                <c:pt idx="8">
                  <c:v>31</c:v>
                </c:pt>
                <c:pt idx="9">
                  <c:v>33</c:v>
                </c:pt>
                <c:pt idx="10">
                  <c:v>35</c:v>
                </c:pt>
                <c:pt idx="11">
                  <c:v>37</c:v>
                </c:pt>
                <c:pt idx="12">
                  <c:v>39</c:v>
                </c:pt>
                <c:pt idx="13">
                  <c:v>41</c:v>
                </c:pt>
                <c:pt idx="14">
                  <c:v>43</c:v>
                </c:pt>
                <c:pt idx="15">
                  <c:v>45</c:v>
                </c:pt>
                <c:pt idx="16">
                  <c:v>47</c:v>
                </c:pt>
                <c:pt idx="17">
                  <c:v>49</c:v>
                </c:pt>
                <c:pt idx="18">
                  <c:v>51</c:v>
                </c:pt>
                <c:pt idx="19">
                  <c:v>53</c:v>
                </c:pt>
                <c:pt idx="20">
                  <c:v>55</c:v>
                </c:pt>
                <c:pt idx="21">
                  <c:v>57</c:v>
                </c:pt>
                <c:pt idx="22">
                  <c:v>59</c:v>
                </c:pt>
                <c:pt idx="23">
                  <c:v>61</c:v>
                </c:pt>
                <c:pt idx="24">
                  <c:v>63</c:v>
                </c:pt>
                <c:pt idx="25">
                  <c:v>65</c:v>
                </c:pt>
              </c:numCache>
            </c:numRef>
          </c:xVal>
          <c:yVal>
            <c:numRef>
              <c:f>'Basic Worksheet'!$X$2:$X$52</c:f>
              <c:numCache>
                <c:formatCode>0.00</c:formatCode>
                <c:ptCount val="51"/>
                <c:pt idx="0">
                  <c:v>9.7561801691215901</c:v>
                </c:pt>
                <c:pt idx="1">
                  <c:v>11.360169438357131</c:v>
                </c:pt>
                <c:pt idx="2">
                  <c:v>13.18120483002463</c:v>
                </c:pt>
                <c:pt idx="3">
                  <c:v>15.090897665425212</c:v>
                </c:pt>
                <c:pt idx="4">
                  <c:v>15.889521648874632</c:v>
                </c:pt>
                <c:pt idx="5">
                  <c:v>16.537696692161894</c:v>
                </c:pt>
                <c:pt idx="6">
                  <c:v>16.154221316012872</c:v>
                </c:pt>
                <c:pt idx="7">
                  <c:v>15.286996841427463</c:v>
                </c:pt>
                <c:pt idx="8">
                  <c:v>14.196096552632291</c:v>
                </c:pt>
                <c:pt idx="9">
                  <c:v>12.91110306731205</c:v>
                </c:pt>
                <c:pt idx="10">
                  <c:v>11.457417808656215</c:v>
                </c:pt>
                <c:pt idx="11">
                  <c:v>9.8549484617497072</c:v>
                </c:pt>
                <c:pt idx="12">
                  <c:v>8.1177882990202548</c:v>
                </c:pt>
                <c:pt idx="13">
                  <c:v>6.2545429342337115</c:v>
                </c:pt>
                <c:pt idx="14">
                  <c:v>4.2690095949871329</c:v>
                </c:pt>
                <c:pt idx="15">
                  <c:v>2.1609942794293477</c:v>
                </c:pt>
                <c:pt idx="16">
                  <c:v>-7.2870162556587292E-2</c:v>
                </c:pt>
                <c:pt idx="17">
                  <c:v>-2.4383809693813396</c:v>
                </c:pt>
                <c:pt idx="18">
                  <c:v>-4.9431313679673581</c:v>
                </c:pt>
                <c:pt idx="19">
                  <c:v>-7.5959933979007506</c:v>
                </c:pt>
                <c:pt idx="20">
                  <c:v>-10.406711266354286</c:v>
                </c:pt>
                <c:pt idx="21">
                  <c:v>-13.385592079574597</c:v>
                </c:pt>
                <c:pt idx="22">
                  <c:v>-16.543278589791228</c:v>
                </c:pt>
                <c:pt idx="23">
                  <c:v>-19.890588882123183</c:v>
                </c:pt>
                <c:pt idx="24">
                  <c:v>-23.438409414507277</c:v>
                </c:pt>
                <c:pt idx="25">
                  <c:v>-27.197629762197899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25952"/>
        <c:axId val="114927872"/>
      </c:scatterChart>
      <c:valAx>
        <c:axId val="11492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</a:t>
                </a:r>
                <a:r>
                  <a:rPr lang="en-US" baseline="0"/>
                  <a:t> (C)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4927872"/>
        <c:crosses val="autoZero"/>
        <c:crossBetween val="midCat"/>
      </c:valAx>
      <c:valAx>
        <c:axId val="114927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49259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Light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'Basic Worksheet'!$X$1</c:f>
              <c:strCache>
                <c:ptCount val="1"/>
                <c:pt idx="0">
                  <c:v>An</c:v>
                </c:pt>
              </c:strCache>
            </c:strRef>
          </c:tx>
          <c:spPr>
            <a:ln w="28575">
              <a:noFill/>
            </a:ln>
          </c:spPr>
          <c:xVal>
            <c:numRef>
              <c:f>'Basic Worksheet'!$F$2:$F$52</c:f>
              <c:numCache>
                <c:formatCode>General</c:formatCode>
                <c:ptCount val="51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2000</c:v>
                </c:pt>
                <c:pt idx="13">
                  <c:v>2000</c:v>
                </c:pt>
                <c:pt idx="14">
                  <c:v>2000</c:v>
                </c:pt>
                <c:pt idx="15">
                  <c:v>2000</c:v>
                </c:pt>
                <c:pt idx="16">
                  <c:v>2000</c:v>
                </c:pt>
                <c:pt idx="17">
                  <c:v>2000</c:v>
                </c:pt>
                <c:pt idx="18">
                  <c:v>2000</c:v>
                </c:pt>
                <c:pt idx="19">
                  <c:v>2000</c:v>
                </c:pt>
                <c:pt idx="20">
                  <c:v>2000</c:v>
                </c:pt>
                <c:pt idx="21">
                  <c:v>2000</c:v>
                </c:pt>
                <c:pt idx="22">
                  <c:v>2000</c:v>
                </c:pt>
                <c:pt idx="23">
                  <c:v>2000</c:v>
                </c:pt>
                <c:pt idx="24">
                  <c:v>2000</c:v>
                </c:pt>
                <c:pt idx="25">
                  <c:v>2000</c:v>
                </c:pt>
              </c:numCache>
            </c:numRef>
          </c:xVal>
          <c:yVal>
            <c:numRef>
              <c:f>'Basic Worksheet'!$X$2:$X$52</c:f>
              <c:numCache>
                <c:formatCode>0.00</c:formatCode>
                <c:ptCount val="51"/>
                <c:pt idx="0">
                  <c:v>9.7561801691215901</c:v>
                </c:pt>
                <c:pt idx="1">
                  <c:v>11.360169438357131</c:v>
                </c:pt>
                <c:pt idx="2">
                  <c:v>13.18120483002463</c:v>
                </c:pt>
                <c:pt idx="3">
                  <c:v>15.090897665425212</c:v>
                </c:pt>
                <c:pt idx="4">
                  <c:v>15.889521648874632</c:v>
                </c:pt>
                <c:pt idx="5">
                  <c:v>16.537696692161894</c:v>
                </c:pt>
                <c:pt idx="6">
                  <c:v>16.154221316012872</c:v>
                </c:pt>
                <c:pt idx="7">
                  <c:v>15.286996841427463</c:v>
                </c:pt>
                <c:pt idx="8">
                  <c:v>14.196096552632291</c:v>
                </c:pt>
                <c:pt idx="9">
                  <c:v>12.91110306731205</c:v>
                </c:pt>
                <c:pt idx="10">
                  <c:v>11.457417808656215</c:v>
                </c:pt>
                <c:pt idx="11">
                  <c:v>9.8549484617497072</c:v>
                </c:pt>
                <c:pt idx="12">
                  <c:v>8.1177882990202548</c:v>
                </c:pt>
                <c:pt idx="13">
                  <c:v>6.2545429342337115</c:v>
                </c:pt>
                <c:pt idx="14">
                  <c:v>4.2690095949871329</c:v>
                </c:pt>
                <c:pt idx="15">
                  <c:v>2.1609942794293477</c:v>
                </c:pt>
                <c:pt idx="16">
                  <c:v>-7.2870162556587292E-2</c:v>
                </c:pt>
                <c:pt idx="17">
                  <c:v>-2.4383809693813396</c:v>
                </c:pt>
                <c:pt idx="18">
                  <c:v>-4.9431313679673581</c:v>
                </c:pt>
                <c:pt idx="19">
                  <c:v>-7.5959933979007506</c:v>
                </c:pt>
                <c:pt idx="20">
                  <c:v>-10.406711266354286</c:v>
                </c:pt>
                <c:pt idx="21">
                  <c:v>-13.385592079574597</c:v>
                </c:pt>
                <c:pt idx="22">
                  <c:v>-16.543278589791228</c:v>
                </c:pt>
                <c:pt idx="23">
                  <c:v>-19.890588882123183</c:v>
                </c:pt>
                <c:pt idx="24">
                  <c:v>-23.438409414507277</c:v>
                </c:pt>
                <c:pt idx="25">
                  <c:v>-27.197629762197899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44640"/>
        <c:axId val="119997184"/>
      </c:scatterChart>
      <c:valAx>
        <c:axId val="11494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</a:t>
                </a:r>
                <a:r>
                  <a:rPr lang="en-US" baseline="0"/>
                  <a:t> (C)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9997184"/>
        <c:crosses val="autoZero"/>
        <c:crossBetween val="midCat"/>
      </c:valAx>
      <c:valAx>
        <c:axId val="119997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49446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Quantum Efficiency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layout>
                <c:manualLayout>
                  <c:x val="1.0354453356881791E-2"/>
                  <c:y val="-0.1041637305064494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xVal>
            <c:numRef>
              <c:f>'Energy Partitioning'!$D$2:$D$9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</c:numCache>
            </c:numRef>
          </c:xVal>
          <c:yVal>
            <c:numRef>
              <c:f>'Energy Partitioning'!$F$2:$F$9</c:f>
              <c:numCache>
                <c:formatCode>General</c:formatCode>
                <c:ptCount val="8"/>
                <c:pt idx="0">
                  <c:v>-0.89159983583216662</c:v>
                </c:pt>
                <c:pt idx="1">
                  <c:v>-0.67789756927474421</c:v>
                </c:pt>
                <c:pt idx="2">
                  <c:v>-0.46491568931681515</c:v>
                </c:pt>
                <c:pt idx="3">
                  <c:v>-0.25267294749749625</c:v>
                </c:pt>
                <c:pt idx="4">
                  <c:v>-4.118858736205433E-2</c:v>
                </c:pt>
                <c:pt idx="5">
                  <c:v>0.16951764834121841</c:v>
                </c:pt>
                <c:pt idx="6">
                  <c:v>0.37942551103570987</c:v>
                </c:pt>
                <c:pt idx="7">
                  <c:v>0.58851424034403643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737536"/>
        <c:axId val="140743808"/>
      </c:scatterChart>
      <c:valAx>
        <c:axId val="14073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PPFD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0743808"/>
        <c:crossesAt val="-1"/>
        <c:crossBetween val="midCat"/>
      </c:valAx>
      <c:valAx>
        <c:axId val="1407438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Photosynthesis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0737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'Energy Partitioning'!$C$35</c:f>
              <c:strCache>
                <c:ptCount val="1"/>
                <c:pt idx="0">
                  <c:v>NADPH Consumption</c:v>
                </c:pt>
              </c:strCache>
            </c:strRef>
          </c:tx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'Energy Partitioning'!$A$37:$A$38</c:f>
              <c:strCache>
                <c:ptCount val="2"/>
                <c:pt idx="0">
                  <c:v>Vc</c:v>
                </c:pt>
                <c:pt idx="1">
                  <c:v>Vo</c:v>
                </c:pt>
              </c:strCache>
            </c:strRef>
          </c:cat>
          <c:val>
            <c:numRef>
              <c:f>'Energy Partitioning'!$C$37:$C$38</c:f>
              <c:numCache>
                <c:formatCode>0.00</c:formatCode>
                <c:ptCount val="2"/>
                <c:pt idx="0">
                  <c:v>41.580250602443158</c:v>
                </c:pt>
                <c:pt idx="1">
                  <c:v>15.861763789335134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'Energy Partitioning'!$D$35</c:f>
              <c:strCache>
                <c:ptCount val="1"/>
                <c:pt idx="0">
                  <c:v>ATP Consumption</c:v>
                </c:pt>
              </c:strCache>
            </c:strRef>
          </c:tx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'Energy Partitioning'!$A$37:$A$38</c:f>
              <c:strCache>
                <c:ptCount val="2"/>
                <c:pt idx="0">
                  <c:v>Vc</c:v>
                </c:pt>
                <c:pt idx="1">
                  <c:v>Vo</c:v>
                </c:pt>
              </c:strCache>
            </c:strRef>
          </c:cat>
          <c:val>
            <c:numRef>
              <c:f>'Energy Partitioning'!$D$37:$D$38</c:f>
              <c:numCache>
                <c:formatCode>0.00</c:formatCode>
                <c:ptCount val="2"/>
                <c:pt idx="0">
                  <c:v>62.370375903664737</c:v>
                </c:pt>
                <c:pt idx="1">
                  <c:v>27.758086631336486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000000000000033" r="0.75000000000000033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'Energy Partitioning'!$E$35</c:f>
              <c:strCache>
                <c:ptCount val="1"/>
                <c:pt idx="0">
                  <c:v>J</c:v>
                </c:pt>
              </c:strCache>
            </c:strRef>
          </c:tx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'Energy Partitioning'!$A$37:$A$38</c:f>
              <c:strCache>
                <c:ptCount val="2"/>
                <c:pt idx="0">
                  <c:v>Vc</c:v>
                </c:pt>
                <c:pt idx="1">
                  <c:v>Vo</c:v>
                </c:pt>
              </c:strCache>
            </c:strRef>
          </c:cat>
          <c:val>
            <c:numRef>
              <c:f>'Energy Partitioning'!$E$37:$E$38</c:f>
              <c:numCache>
                <c:formatCode>0.00</c:formatCode>
                <c:ptCount val="2"/>
                <c:pt idx="0">
                  <c:v>83.160501204886316</c:v>
                </c:pt>
                <c:pt idx="1">
                  <c:v>37.01076102609693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000000000000033" r="0.75000000000000033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'Energy Partitioning'!$F$35</c:f>
              <c:strCache>
                <c:ptCount val="1"/>
                <c:pt idx="0">
                  <c:v>Quantum Yield</c:v>
                </c:pt>
              </c:strCache>
            </c:strRef>
          </c:tx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numRef>
              <c:f>'Energy Partitioning'!$G$37:$G$38</c:f>
              <c:numCache>
                <c:formatCode>0.00</c:formatCode>
                <c:ptCount val="2"/>
              </c:numCache>
            </c:numRef>
          </c:cat>
          <c:val>
            <c:numRef>
              <c:f>'Energy Partitioning'!$F$37:$F$38</c:f>
              <c:numCache>
                <c:formatCode>0.000</c:formatCode>
                <c:ptCount val="2"/>
                <c:pt idx="0">
                  <c:v>4.2290948352131506E-2</c:v>
                </c:pt>
                <c:pt idx="1">
                  <c:v>3.3225425945354124E-2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78685</xdr:colOff>
      <xdr:row>27</xdr:row>
      <xdr:rowOff>26918</xdr:rowOff>
    </xdr:from>
    <xdr:to>
      <xdr:col>5</xdr:col>
      <xdr:colOff>102290</xdr:colOff>
      <xdr:row>44</xdr:row>
      <xdr:rowOff>17393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115957</xdr:colOff>
      <xdr:row>27</xdr:row>
      <xdr:rowOff>24847</xdr:rowOff>
    </xdr:from>
    <xdr:to>
      <xdr:col>16</xdr:col>
      <xdr:colOff>470867</xdr:colOff>
      <xdr:row>44</xdr:row>
      <xdr:rowOff>15322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66261</xdr:colOff>
      <xdr:row>44</xdr:row>
      <xdr:rowOff>16565</xdr:rowOff>
    </xdr:from>
    <xdr:to>
      <xdr:col>5</xdr:col>
      <xdr:colOff>89866</xdr:colOff>
      <xdr:row>61</xdr:row>
      <xdr:rowOff>7040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124238</xdr:colOff>
      <xdr:row>44</xdr:row>
      <xdr:rowOff>33130</xdr:rowOff>
    </xdr:from>
    <xdr:to>
      <xdr:col>16</xdr:col>
      <xdr:colOff>479148</xdr:colOff>
      <xdr:row>61</xdr:row>
      <xdr:rowOff>23605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0</xdr:row>
      <xdr:rowOff>47625</xdr:rowOff>
    </xdr:from>
    <xdr:to>
      <xdr:col>5</xdr:col>
      <xdr:colOff>523875</xdr:colOff>
      <xdr:row>15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828675</xdr:colOff>
      <xdr:row>15</xdr:row>
      <xdr:rowOff>76200</xdr:rowOff>
    </xdr:from>
    <xdr:to>
      <xdr:col>9</xdr:col>
      <xdr:colOff>200025</xdr:colOff>
      <xdr:row>48</xdr:row>
      <xdr:rowOff>114300</xdr:rowOff>
    </xdr:to>
    <xdr:grpSp>
      <xdr:nvGrpSpPr>
        <xdr:cNvPr id="7" name="Group 6"/>
        <xdr:cNvGrpSpPr/>
      </xdr:nvGrpSpPr>
      <xdr:grpSpPr>
        <a:xfrm>
          <a:off x="2438400" y="2505075"/>
          <a:ext cx="6096000" cy="5381625"/>
          <a:chOff x="2762250" y="2476500"/>
          <a:chExt cx="6096000" cy="5381625"/>
        </a:xfrm>
      </xdr:grpSpPr>
      <xdr:graphicFrame macro="">
        <xdr:nvGraphicFramePr>
          <xdr:cNvPr id="2055" name="Chart 1"/>
          <xdr:cNvGraphicFramePr>
            <a:graphicFrameLocks/>
          </xdr:cNvGraphicFramePr>
        </xdr:nvGraphicFramePr>
        <xdr:xfrm>
          <a:off x="2771775" y="2476500"/>
          <a:ext cx="3038475" cy="2695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056" name="Chart 2"/>
          <xdr:cNvGraphicFramePr>
            <a:graphicFrameLocks/>
          </xdr:cNvGraphicFramePr>
        </xdr:nvGraphicFramePr>
        <xdr:xfrm>
          <a:off x="5810250" y="2476500"/>
          <a:ext cx="3038475" cy="2695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2057" name="Chart 3"/>
          <xdr:cNvGraphicFramePr>
            <a:graphicFrameLocks/>
          </xdr:cNvGraphicFramePr>
        </xdr:nvGraphicFramePr>
        <xdr:xfrm>
          <a:off x="2762250" y="5162550"/>
          <a:ext cx="3048000" cy="2695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6" name="Chart 3"/>
          <xdr:cNvGraphicFramePr>
            <a:graphicFrameLocks/>
          </xdr:cNvGraphicFramePr>
        </xdr:nvGraphicFramePr>
        <xdr:xfrm>
          <a:off x="5810250" y="5162550"/>
          <a:ext cx="3048000" cy="2695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  <xdr:twoCellAnchor>
    <xdr:from>
      <xdr:col>5</xdr:col>
      <xdr:colOff>542924</xdr:colOff>
      <xdr:row>0</xdr:row>
      <xdr:rowOff>19050</xdr:rowOff>
    </xdr:from>
    <xdr:to>
      <xdr:col>9</xdr:col>
      <xdr:colOff>571499</xdr:colOff>
      <xdr:row>15</xdr:row>
      <xdr:rowOff>28575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tabSelected="1" zoomScale="115" zoomScaleNormal="115" workbookViewId="0">
      <selection activeCell="Z37" sqref="Z37"/>
    </sheetView>
  </sheetViews>
  <sheetFormatPr defaultColWidth="11" defaultRowHeight="12.75"/>
  <cols>
    <col min="1" max="1" width="21.75" customWidth="1"/>
    <col min="4" max="4" width="9.375" style="1" customWidth="1"/>
    <col min="5" max="6" width="6.75" style="1" customWidth="1"/>
    <col min="7" max="9" width="4.25" style="1" customWidth="1"/>
    <col min="10" max="10" width="5.875" style="1" customWidth="1"/>
    <col min="11" max="14" width="4.25" style="1" customWidth="1"/>
    <col min="15" max="15" width="6.75" style="1" customWidth="1"/>
    <col min="16" max="19" width="6.375" style="1" customWidth="1"/>
    <col min="20" max="22" width="8.375" style="14" customWidth="1"/>
    <col min="23" max="23" width="6.375" style="14" customWidth="1"/>
    <col min="24" max="24" width="8.375" style="14" customWidth="1"/>
    <col min="25" max="16384" width="11" style="1"/>
  </cols>
  <sheetData>
    <row r="1" spans="1:25" customFormat="1" ht="54.75" customHeight="1">
      <c r="A1" s="6" t="s">
        <v>24</v>
      </c>
      <c r="B1" s="6" t="s">
        <v>25</v>
      </c>
      <c r="D1" s="4" t="s">
        <v>0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1</v>
      </c>
      <c r="O1" s="4" t="s">
        <v>2</v>
      </c>
      <c r="P1" s="4"/>
      <c r="Q1" s="4" t="s">
        <v>22</v>
      </c>
      <c r="R1" s="4" t="s">
        <v>26</v>
      </c>
      <c r="S1" s="4"/>
      <c r="T1" s="7" t="s">
        <v>19</v>
      </c>
      <c r="U1" s="7" t="s">
        <v>20</v>
      </c>
      <c r="V1" s="7" t="s">
        <v>21</v>
      </c>
      <c r="W1" s="7"/>
      <c r="X1" s="7" t="s">
        <v>18</v>
      </c>
      <c r="Y1" s="4"/>
    </row>
    <row r="2" spans="1:25" customFormat="1">
      <c r="A2" t="s">
        <v>3</v>
      </c>
      <c r="B2" s="3">
        <v>80</v>
      </c>
      <c r="D2">
        <f>IF($A$13="YES",15,25)</f>
        <v>15</v>
      </c>
      <c r="E2">
        <f>IF($A$17="YES",50,375)</f>
        <v>375</v>
      </c>
      <c r="F2">
        <f>IF($A$21="YES",0,2000)</f>
        <v>2000</v>
      </c>
      <c r="G2">
        <f t="shared" ref="G2:G13" si="0">$B$6*E2*((1.674-6.1294*10^-2*D2+1.1688*10^-3*D2^2-8.8741*10^-6*D2^3)/0.73547)</f>
        <v>352.49599172128018</v>
      </c>
      <c r="H2">
        <f t="shared" ref="H2:H13" si="1">EXP(-14.37--37.83/(0.008314*(D2+273.15)))</f>
        <v>4.1409680742799466</v>
      </c>
      <c r="I2">
        <f t="shared" ref="I2:I23" si="2">0.5*$B$7/H2</f>
        <v>25.356389645254136</v>
      </c>
      <c r="J2">
        <f t="shared" ref="J2:J13" si="3">(EXP(38.0463-79.4275/(0.008314*(D2+273.15))))</f>
        <v>133.19548118603117</v>
      </c>
      <c r="K2">
        <f t="shared" ref="K2:K13" si="4">EXP(20.3-36.38/(0.008314*(D2+273.15)))</f>
        <v>166.38872375701496</v>
      </c>
      <c r="L2">
        <f t="shared" ref="L2:L13" si="5">((0.85*(-30.74+0.206*(D2+273.15)-0.000337*(D2+273.15)^2)*0.5))*F2</f>
        <v>542.00047487499762</v>
      </c>
      <c r="M2">
        <f t="shared" ref="M2:M13" si="6">(-31.99+0.222*(273.15+D2)-0.000375*(273.15+D2)^2)</f>
        <v>0.84289156250000374</v>
      </c>
      <c r="N2">
        <f t="shared" ref="N2:N13" si="7">$B$3*(EXP(17.57-43.54/(0.008314*(D2+273.15))))</f>
        <v>65.569087872680882</v>
      </c>
      <c r="O2">
        <f>(L2+N2-SQRT((L2+N2)^2-4*M2*L2*N2))/(2*M2)</f>
        <v>64.213230529647092</v>
      </c>
      <c r="Q2">
        <f>(1-I2/G2)</f>
        <v>0.92806616176985202</v>
      </c>
      <c r="R2">
        <f>(1-Q2)*2</f>
        <v>0.14386767646029597</v>
      </c>
      <c r="T2" s="9">
        <f t="shared" ref="T2:T13" si="8">Q2*((EXP(26.35-65.33/((273.15+D2)*0.008314))*B$2)*G2)/(G2+J2*(1+(210/(K2))))-EXP(18.72-46.39/(0.008314*(D2+273.15)))*$B$4</f>
        <v>15.37592765588882</v>
      </c>
      <c r="U2" s="9">
        <f t="shared" ref="U2:U13" si="9">Q2*(O2*G2)/($B$8*G2+$B$9*2*I2)-EXP(18.72-46.39/(0.008314*(D2+273.15)))*$B$4</f>
        <v>12.179589974430439</v>
      </c>
      <c r="V2" s="9">
        <f t="shared" ref="V2:V13" si="10">3*(((EXP(23.59-53.1/(0.008314*(D2+273)))/(1+EXP((0.65*(D2+273)-201.8)/(0.008314*(D2+273)))))/8.33447283719655)*$B$5)-EXP(18.72-46.39/(0.008314*(D2+273.15)))*$B$4</f>
        <v>9.7561801691215901</v>
      </c>
      <c r="W2" s="9"/>
      <c r="X2" s="9">
        <f t="shared" ref="X2:X13" si="11">IF(G2&lt;(EXP(19.0185-37.8344/(0.008314*(D2+273.15)))),MIN(T2,V2),MIN(T2:V2))</f>
        <v>9.7561801691215901</v>
      </c>
      <c r="Y2" t="str">
        <f>IF(X2=T2,"Rubisco",IF(X2=U2,"Jmax","TPU"))</f>
        <v>TPU</v>
      </c>
    </row>
    <row r="3" spans="1:25" customFormat="1">
      <c r="A3" t="s">
        <v>4</v>
      </c>
      <c r="B3" s="3">
        <v>120</v>
      </c>
      <c r="D3">
        <f t="shared" ref="D3:D27" si="12">IF($A$13="YES",$D2+$A$15,D$2)</f>
        <v>17</v>
      </c>
      <c r="E3">
        <f t="shared" ref="E3:E27" si="13">IF($A$17="YES",$E2+$A$19,E$2)</f>
        <v>375</v>
      </c>
      <c r="F3">
        <f>IF($A$21="YES",$F2+$A$23/10,F$2)</f>
        <v>2000</v>
      </c>
      <c r="G3">
        <f t="shared" si="0"/>
        <v>330.56959632445916</v>
      </c>
      <c r="H3">
        <f t="shared" si="1"/>
        <v>3.7139014659663068</v>
      </c>
      <c r="I3">
        <f t="shared" si="2"/>
        <v>28.272155565301308</v>
      </c>
      <c r="J3">
        <f t="shared" si="3"/>
        <v>167.39415259795135</v>
      </c>
      <c r="K3">
        <f t="shared" si="4"/>
        <v>184.74960080902628</v>
      </c>
      <c r="L3">
        <f t="shared" si="5"/>
        <v>560.89240487499546</v>
      </c>
      <c r="M3">
        <f t="shared" si="6"/>
        <v>0.85316656250000023</v>
      </c>
      <c r="N3">
        <f t="shared" si="7"/>
        <v>74.320005478708524</v>
      </c>
      <c r="O3">
        <f t="shared" ref="O3:O23" si="14">(L3+N3-SQRT((L3+N3)^2-4*M3*L3*N3))/(2*M3)</f>
        <v>72.728988439761267</v>
      </c>
      <c r="Q3">
        <f t="shared" ref="Q3:Q27" si="15">(1-I3/G3)</f>
        <v>0.91447442269448231</v>
      </c>
      <c r="R3">
        <f t="shared" ref="R3:R27" si="16">(1-Q3)*2</f>
        <v>0.17105115461103537</v>
      </c>
      <c r="T3" s="9">
        <f t="shared" si="8"/>
        <v>16.240396061343002</v>
      </c>
      <c r="U3" s="9">
        <f t="shared" si="9"/>
        <v>13.200907518752446</v>
      </c>
      <c r="V3" s="9">
        <f t="shared" si="10"/>
        <v>11.360169438357131</v>
      </c>
      <c r="W3" s="9"/>
      <c r="X3" s="9">
        <f t="shared" si="11"/>
        <v>11.360169438357131</v>
      </c>
      <c r="Y3" t="str">
        <f t="shared" ref="Y3:Y23" si="17">IF(X3=T3,"Rubisco",IF(X3=U3,"Jmax","TPU"))</f>
        <v>TPU</v>
      </c>
    </row>
    <row r="4" spans="1:25" customFormat="1">
      <c r="A4" t="s">
        <v>5</v>
      </c>
      <c r="B4" s="3">
        <v>1.1000000000000001</v>
      </c>
      <c r="D4">
        <f t="shared" si="12"/>
        <v>19</v>
      </c>
      <c r="E4">
        <f t="shared" si="13"/>
        <v>375</v>
      </c>
      <c r="F4">
        <f t="shared" ref="F4:F7" si="18">IF($A$21="YES",$F3+$A$23/10,F$2)</f>
        <v>2000</v>
      </c>
      <c r="G4">
        <f t="shared" si="0"/>
        <v>310.68823864501604</v>
      </c>
      <c r="H4">
        <f t="shared" si="1"/>
        <v>3.335846779502424</v>
      </c>
      <c r="I4">
        <f t="shared" si="2"/>
        <v>31.476265830069639</v>
      </c>
      <c r="J4">
        <f t="shared" si="3"/>
        <v>209.71629347625372</v>
      </c>
      <c r="K4">
        <f t="shared" si="4"/>
        <v>204.84280396802413</v>
      </c>
      <c r="L4">
        <f t="shared" si="5"/>
        <v>577.49273487499624</v>
      </c>
      <c r="M4">
        <f t="shared" si="6"/>
        <v>0.86044156250000725</v>
      </c>
      <c r="N4">
        <f t="shared" si="7"/>
        <v>84.094464739078717</v>
      </c>
      <c r="O4">
        <f t="shared" si="14"/>
        <v>82.191041976789322</v>
      </c>
      <c r="Q4">
        <f t="shared" si="15"/>
        <v>0.89868858258894835</v>
      </c>
      <c r="R4">
        <f t="shared" si="16"/>
        <v>0.2026228348221033</v>
      </c>
      <c r="T4" s="9">
        <f t="shared" si="8"/>
        <v>16.831497607195242</v>
      </c>
      <c r="U4" s="9">
        <f t="shared" si="9"/>
        <v>14.182337096620884</v>
      </c>
      <c r="V4" s="9">
        <f t="shared" si="10"/>
        <v>13.18120483002463</v>
      </c>
      <c r="W4" s="9"/>
      <c r="X4" s="9">
        <f t="shared" si="11"/>
        <v>13.18120483002463</v>
      </c>
      <c r="Y4" t="str">
        <f t="shared" si="17"/>
        <v>TPU</v>
      </c>
    </row>
    <row r="5" spans="1:25" customFormat="1">
      <c r="A5" t="s">
        <v>6</v>
      </c>
      <c r="B5" s="3">
        <v>7</v>
      </c>
      <c r="D5">
        <f t="shared" si="12"/>
        <v>21</v>
      </c>
      <c r="E5">
        <f t="shared" si="13"/>
        <v>375</v>
      </c>
      <c r="F5">
        <f t="shared" si="18"/>
        <v>2000</v>
      </c>
      <c r="G5">
        <f t="shared" si="0"/>
        <v>292.69988847097767</v>
      </c>
      <c r="H5">
        <f t="shared" si="1"/>
        <v>3.0006533913866318</v>
      </c>
      <c r="I5">
        <f t="shared" si="2"/>
        <v>34.992378760373406</v>
      </c>
      <c r="J5">
        <f t="shared" si="3"/>
        <v>261.93460627656236</v>
      </c>
      <c r="K5">
        <f t="shared" si="4"/>
        <v>226.8026874922777</v>
      </c>
      <c r="L5">
        <f t="shared" si="5"/>
        <v>591.8014648749936</v>
      </c>
      <c r="M5">
        <f t="shared" si="6"/>
        <v>0.86471656250000706</v>
      </c>
      <c r="N5">
        <f t="shared" si="7"/>
        <v>94.994698723817635</v>
      </c>
      <c r="O5">
        <f t="shared" si="14"/>
        <v>92.667251436620887</v>
      </c>
      <c r="Q5">
        <f t="shared" si="15"/>
        <v>0.88044963411783794</v>
      </c>
      <c r="R5">
        <f t="shared" si="16"/>
        <v>0.23910073176432411</v>
      </c>
      <c r="T5" s="9">
        <f t="shared" si="8"/>
        <v>17.119765456538595</v>
      </c>
      <c r="U5" s="9">
        <f t="shared" si="9"/>
        <v>15.090897665425212</v>
      </c>
      <c r="V5" s="9">
        <f t="shared" si="10"/>
        <v>15.225696422855901</v>
      </c>
      <c r="W5" s="9"/>
      <c r="X5" s="9">
        <f t="shared" si="11"/>
        <v>15.090897665425212</v>
      </c>
      <c r="Y5" t="str">
        <f t="shared" si="17"/>
        <v>Jmax</v>
      </c>
    </row>
    <row r="6" spans="1:25" customFormat="1">
      <c r="A6" t="s">
        <v>7</v>
      </c>
      <c r="B6" s="3">
        <v>0.7</v>
      </c>
      <c r="D6">
        <f t="shared" si="12"/>
        <v>23</v>
      </c>
      <c r="E6">
        <f t="shared" si="13"/>
        <v>375</v>
      </c>
      <c r="F6">
        <f t="shared" si="18"/>
        <v>2000</v>
      </c>
      <c r="G6">
        <f t="shared" si="0"/>
        <v>276.45251559037075</v>
      </c>
      <c r="H6">
        <f t="shared" si="1"/>
        <v>2.7030043564052599</v>
      </c>
      <c r="I6">
        <f t="shared" si="2"/>
        <v>38.84566436276117</v>
      </c>
      <c r="J6">
        <f t="shared" si="3"/>
        <v>326.17402568502479</v>
      </c>
      <c r="K6">
        <f t="shared" si="4"/>
        <v>250.77157918272528</v>
      </c>
      <c r="L6">
        <f t="shared" si="5"/>
        <v>603.81859487500299</v>
      </c>
      <c r="M6">
        <f t="shared" si="6"/>
        <v>0.86599156250001386</v>
      </c>
      <c r="N6">
        <f t="shared" si="7"/>
        <v>107.13130478656797</v>
      </c>
      <c r="O6">
        <f t="shared" si="14"/>
        <v>104.21794475822594</v>
      </c>
      <c r="Q6">
        <f t="shared" si="15"/>
        <v>0.85948522016591045</v>
      </c>
      <c r="R6">
        <f t="shared" si="16"/>
        <v>0.28102955966817911</v>
      </c>
      <c r="T6" s="9">
        <f t="shared" si="8"/>
        <v>17.095489832121768</v>
      </c>
      <c r="U6" s="9">
        <f t="shared" si="9"/>
        <v>15.889521648874632</v>
      </c>
      <c r="V6" s="9">
        <f t="shared" si="10"/>
        <v>17.480363327039097</v>
      </c>
      <c r="W6" s="9"/>
      <c r="X6" s="9">
        <f t="shared" si="11"/>
        <v>15.889521648874632</v>
      </c>
      <c r="Y6" t="str">
        <f t="shared" si="17"/>
        <v>Jmax</v>
      </c>
    </row>
    <row r="7" spans="1:25" customFormat="1">
      <c r="A7" t="s">
        <v>8</v>
      </c>
      <c r="B7" s="3">
        <v>210</v>
      </c>
      <c r="D7">
        <f t="shared" si="12"/>
        <v>25</v>
      </c>
      <c r="E7">
        <f t="shared" si="13"/>
        <v>375</v>
      </c>
      <c r="F7">
        <f t="shared" si="18"/>
        <v>2000</v>
      </c>
      <c r="G7">
        <f t="shared" si="0"/>
        <v>261.79408979122189</v>
      </c>
      <c r="H7">
        <f t="shared" si="1"/>
        <v>2.4382954791474436</v>
      </c>
      <c r="I7">
        <f t="shared" si="2"/>
        <v>43.06286949140123</v>
      </c>
      <c r="J7">
        <f t="shared" si="3"/>
        <v>404.97470697071208</v>
      </c>
      <c r="K7">
        <f t="shared" si="4"/>
        <v>276.9000847896117</v>
      </c>
      <c r="L7">
        <f t="shared" si="5"/>
        <v>613.54412487499997</v>
      </c>
      <c r="M7">
        <f t="shared" si="6"/>
        <v>0.86426656250001344</v>
      </c>
      <c r="N7">
        <f t="shared" si="7"/>
        <v>120.62376280202379</v>
      </c>
      <c r="O7">
        <f t="shared" si="14"/>
        <v>116.88967264391032</v>
      </c>
      <c r="Q7">
        <f t="shared" si="15"/>
        <v>0.83550862616591748</v>
      </c>
      <c r="R7">
        <f t="shared" si="16"/>
        <v>0.32898274766816504</v>
      </c>
      <c r="T7" s="9">
        <f t="shared" si="8"/>
        <v>16.766617692811828</v>
      </c>
      <c r="U7" s="9">
        <f t="shared" si="9"/>
        <v>16.537696692161894</v>
      </c>
      <c r="V7" s="9">
        <f t="shared" si="10"/>
        <v>19.893995778236846</v>
      </c>
      <c r="W7" s="9"/>
      <c r="X7" s="9">
        <f t="shared" si="11"/>
        <v>16.537696692161894</v>
      </c>
      <c r="Y7" t="str">
        <f t="shared" si="17"/>
        <v>Jmax</v>
      </c>
    </row>
    <row r="8" spans="1:25" customFormat="1">
      <c r="A8" s="8" t="s">
        <v>28</v>
      </c>
      <c r="B8" s="10">
        <v>4</v>
      </c>
      <c r="D8">
        <f t="shared" si="12"/>
        <v>27</v>
      </c>
      <c r="E8">
        <f t="shared" si="13"/>
        <v>375</v>
      </c>
      <c r="F8">
        <f t="shared" ref="F8:F12" si="19">IF($A$21="YES",$F7+$A$23/2,F$2)</f>
        <v>2000</v>
      </c>
      <c r="G8">
        <f t="shared" si="0"/>
        <v>248.57258086155781</v>
      </c>
      <c r="H8">
        <f t="shared" si="1"/>
        <v>2.2025330223474704</v>
      </c>
      <c r="I8">
        <f t="shared" si="2"/>
        <v>47.672383993630426</v>
      </c>
      <c r="J8">
        <f t="shared" si="3"/>
        <v>501.36499107384282</v>
      </c>
      <c r="K8">
        <f t="shared" si="4"/>
        <v>305.34739490115163</v>
      </c>
      <c r="L8">
        <f t="shared" si="5"/>
        <v>620.97805487499681</v>
      </c>
      <c r="M8">
        <f t="shared" si="6"/>
        <v>0.85954156249999869</v>
      </c>
      <c r="N8">
        <f t="shared" si="7"/>
        <v>135.60097320608153</v>
      </c>
      <c r="O8">
        <f t="shared" si="14"/>
        <v>130.70650465546277</v>
      </c>
      <c r="Q8">
        <f t="shared" si="15"/>
        <v>0.80821543619816416</v>
      </c>
      <c r="R8">
        <f t="shared" si="16"/>
        <v>0.38356912760367168</v>
      </c>
      <c r="T8" s="9">
        <f t="shared" si="8"/>
        <v>16.154221316012872</v>
      </c>
      <c r="U8" s="9">
        <f t="shared" si="9"/>
        <v>16.99222456221408</v>
      </c>
      <c r="V8" s="9">
        <f t="shared" si="10"/>
        <v>22.348948036102257</v>
      </c>
      <c r="W8" s="9"/>
      <c r="X8" s="9">
        <f t="shared" si="11"/>
        <v>16.154221316012872</v>
      </c>
      <c r="Y8" t="str">
        <f t="shared" si="17"/>
        <v>Rubisco</v>
      </c>
    </row>
    <row r="9" spans="1:25" customFormat="1">
      <c r="A9" s="8" t="s">
        <v>27</v>
      </c>
      <c r="B9" s="11">
        <f>B8*1.166666</f>
        <v>4.6666639999999999</v>
      </c>
      <c r="D9">
        <f t="shared" si="12"/>
        <v>29</v>
      </c>
      <c r="E9">
        <f t="shared" si="13"/>
        <v>375</v>
      </c>
      <c r="F9">
        <f t="shared" si="19"/>
        <v>2000</v>
      </c>
      <c r="G9">
        <f t="shared" si="0"/>
        <v>236.63595858940536</v>
      </c>
      <c r="H9">
        <f t="shared" si="1"/>
        <v>1.9922470181766705</v>
      </c>
      <c r="I9">
        <f t="shared" si="2"/>
        <v>52.704307770076284</v>
      </c>
      <c r="J9">
        <f t="shared" si="3"/>
        <v>618.94571372160874</v>
      </c>
      <c r="K9">
        <f t="shared" si="4"/>
        <v>336.28159393559582</v>
      </c>
      <c r="L9">
        <f t="shared" si="5"/>
        <v>626.12038487499944</v>
      </c>
      <c r="M9">
        <f t="shared" si="6"/>
        <v>0.85181656250000515</v>
      </c>
      <c r="N9">
        <f t="shared" si="7"/>
        <v>152.20181486923917</v>
      </c>
      <c r="O9">
        <f t="shared" si="14"/>
        <v>145.65830103915908</v>
      </c>
      <c r="Q9">
        <f t="shared" si="15"/>
        <v>0.77727684294369981</v>
      </c>
      <c r="R9">
        <f t="shared" si="16"/>
        <v>0.44544631411260038</v>
      </c>
      <c r="T9" s="9">
        <f t="shared" si="8"/>
        <v>15.286996841427463</v>
      </c>
      <c r="U9" s="9">
        <f t="shared" si="9"/>
        <v>17.208074197004656</v>
      </c>
      <c r="V9" s="9">
        <f t="shared" si="10"/>
        <v>24.624420055892621</v>
      </c>
      <c r="W9" s="9"/>
      <c r="X9" s="9">
        <f t="shared" si="11"/>
        <v>15.286996841427463</v>
      </c>
      <c r="Y9" t="str">
        <f t="shared" si="17"/>
        <v>Rubisco</v>
      </c>
    </row>
    <row r="10" spans="1:25" customFormat="1">
      <c r="D10">
        <f t="shared" si="12"/>
        <v>31</v>
      </c>
      <c r="E10">
        <f t="shared" si="13"/>
        <v>375</v>
      </c>
      <c r="F10">
        <f t="shared" si="19"/>
        <v>2000</v>
      </c>
      <c r="G10">
        <f t="shared" si="0"/>
        <v>225.83219276279101</v>
      </c>
      <c r="H10">
        <f t="shared" si="1"/>
        <v>1.8044176677863943</v>
      </c>
      <c r="I10">
        <f t="shared" si="2"/>
        <v>58.190518677868447</v>
      </c>
      <c r="J10">
        <f t="shared" si="3"/>
        <v>761.98738200348691</v>
      </c>
      <c r="K10">
        <f t="shared" si="4"/>
        <v>369.87997085206734</v>
      </c>
      <c r="L10">
        <f t="shared" si="5"/>
        <v>628.97111487499581</v>
      </c>
      <c r="M10">
        <f t="shared" si="6"/>
        <v>0.84109156250000439</v>
      </c>
      <c r="N10">
        <f t="shared" si="7"/>
        <v>170.57572279609289</v>
      </c>
      <c r="O10">
        <f t="shared" si="14"/>
        <v>161.68560790423766</v>
      </c>
      <c r="Q10">
        <f t="shared" si="15"/>
        <v>0.74232850522338745</v>
      </c>
      <c r="R10">
        <f t="shared" si="16"/>
        <v>0.51534298955322511</v>
      </c>
      <c r="T10" s="9">
        <f t="shared" si="8"/>
        <v>14.196096552632291</v>
      </c>
      <c r="U10" s="9">
        <f t="shared" si="9"/>
        <v>17.139386987653424</v>
      </c>
      <c r="V10" s="9">
        <f t="shared" si="10"/>
        <v>26.368179182844315</v>
      </c>
      <c r="W10" s="9"/>
      <c r="X10" s="9">
        <f t="shared" si="11"/>
        <v>14.196096552632291</v>
      </c>
      <c r="Y10" t="str">
        <f t="shared" si="17"/>
        <v>Rubisco</v>
      </c>
    </row>
    <row r="11" spans="1:25" customFormat="1">
      <c r="D11">
        <f t="shared" si="12"/>
        <v>33</v>
      </c>
      <c r="E11">
        <f t="shared" si="13"/>
        <v>375</v>
      </c>
      <c r="F11">
        <f t="shared" si="19"/>
        <v>2000</v>
      </c>
      <c r="G11">
        <f t="shared" si="0"/>
        <v>216.00925316974167</v>
      </c>
      <c r="H11">
        <f t="shared" si="1"/>
        <v>1.6364127405643767</v>
      </c>
      <c r="I11">
        <f t="shared" si="2"/>
        <v>64.164741203241249</v>
      </c>
      <c r="J11">
        <f t="shared" si="3"/>
        <v>935.54191181180363</v>
      </c>
      <c r="K11">
        <f t="shared" si="4"/>
        <v>406.32933119051233</v>
      </c>
      <c r="L11">
        <f t="shared" si="5"/>
        <v>629.53024487500113</v>
      </c>
      <c r="M11">
        <f t="shared" si="6"/>
        <v>0.82736656250001062</v>
      </c>
      <c r="N11">
        <f t="shared" si="7"/>
        <v>190.88328560572091</v>
      </c>
      <c r="O11">
        <f t="shared" si="14"/>
        <v>178.66144973550252</v>
      </c>
      <c r="Q11">
        <f t="shared" si="15"/>
        <v>0.70295373803815653</v>
      </c>
      <c r="R11">
        <f t="shared" si="16"/>
        <v>0.59409252392368694</v>
      </c>
      <c r="T11" s="9">
        <f t="shared" si="8"/>
        <v>12.91110306731205</v>
      </c>
      <c r="U11" s="9">
        <f t="shared" si="9"/>
        <v>16.740813927042904</v>
      </c>
      <c r="V11" s="9">
        <f t="shared" si="10"/>
        <v>27.119798983631405</v>
      </c>
      <c r="W11" s="9"/>
      <c r="X11" s="9">
        <f t="shared" si="11"/>
        <v>12.91110306731205</v>
      </c>
      <c r="Y11" t="str">
        <f t="shared" si="17"/>
        <v>Rubisco</v>
      </c>
    </row>
    <row r="12" spans="1:25" customFormat="1">
      <c r="A12" s="18" t="s">
        <v>38</v>
      </c>
      <c r="D12">
        <f t="shared" si="12"/>
        <v>35</v>
      </c>
      <c r="E12">
        <f t="shared" si="13"/>
        <v>375</v>
      </c>
      <c r="F12">
        <f t="shared" si="19"/>
        <v>2000</v>
      </c>
      <c r="G12">
        <f t="shared" si="0"/>
        <v>207.01510959828408</v>
      </c>
      <c r="H12">
        <f t="shared" si="1"/>
        <v>1.4859342350960374</v>
      </c>
      <c r="I12">
        <f t="shared" si="2"/>
        <v>70.662615827822108</v>
      </c>
      <c r="J12">
        <f t="shared" si="3"/>
        <v>1145.570804149773</v>
      </c>
      <c r="K12">
        <f t="shared" si="4"/>
        <v>445.82631004712027</v>
      </c>
      <c r="L12">
        <f t="shared" si="5"/>
        <v>627.79777487499405</v>
      </c>
      <c r="M12">
        <f t="shared" si="6"/>
        <v>0.81064156250000963</v>
      </c>
      <c r="N12">
        <f t="shared" si="7"/>
        <v>213.29686270939419</v>
      </c>
      <c r="O12">
        <f t="shared" si="14"/>
        <v>196.37159646699726</v>
      </c>
      <c r="Q12">
        <f t="shared" si="15"/>
        <v>0.65865962168199232</v>
      </c>
      <c r="R12">
        <f t="shared" si="16"/>
        <v>0.68268075663601535</v>
      </c>
      <c r="T12" s="9">
        <f t="shared" si="8"/>
        <v>11.457417808656215</v>
      </c>
      <c r="U12" s="9">
        <f t="shared" si="9"/>
        <v>15.969490916548823</v>
      </c>
      <c r="V12" s="9">
        <f t="shared" si="10"/>
        <v>26.442480820731774</v>
      </c>
      <c r="W12" s="9"/>
      <c r="X12" s="9">
        <f t="shared" si="11"/>
        <v>11.457417808656215</v>
      </c>
      <c r="Y12" t="str">
        <f t="shared" si="17"/>
        <v>Rubisco</v>
      </c>
    </row>
    <row r="13" spans="1:25" customFormat="1">
      <c r="A13" s="20" t="s">
        <v>42</v>
      </c>
      <c r="D13">
        <f t="shared" si="12"/>
        <v>37</v>
      </c>
      <c r="E13">
        <f>IF($A$17="YES",$E12+$A$19,E$2)</f>
        <v>375</v>
      </c>
      <c r="F13">
        <f>IF($A$21="YES",$F12+$A$23/2,F$2)</f>
        <v>2000</v>
      </c>
      <c r="G13">
        <f t="shared" si="0"/>
        <v>198.69773183644452</v>
      </c>
      <c r="H13">
        <f t="shared" si="1"/>
        <v>1.3509728527284275</v>
      </c>
      <c r="I13">
        <f t="shared" si="2"/>
        <v>77.721769011081008</v>
      </c>
      <c r="J13">
        <f t="shared" si="3"/>
        <v>1399.0918383210442</v>
      </c>
      <c r="K13">
        <f t="shared" si="4"/>
        <v>488.57768558856435</v>
      </c>
      <c r="L13">
        <f t="shared" si="5"/>
        <v>623.77370487499888</v>
      </c>
      <c r="M13">
        <f t="shared" si="6"/>
        <v>0.79091656249999431</v>
      </c>
      <c r="N13">
        <f t="shared" si="7"/>
        <v>238.00122106357324</v>
      </c>
      <c r="O13">
        <f t="shared" si="14"/>
        <v>214.49703446245442</v>
      </c>
      <c r="Q13">
        <f t="shared" si="15"/>
        <v>0.60884420625869717</v>
      </c>
      <c r="R13">
        <f t="shared" si="16"/>
        <v>0.78231158748260565</v>
      </c>
      <c r="T13" s="9">
        <f t="shared" si="8"/>
        <v>9.8549484617497072</v>
      </c>
      <c r="U13" s="9">
        <f t="shared" si="9"/>
        <v>14.788015025928125</v>
      </c>
      <c r="V13" s="9">
        <f t="shared" si="10"/>
        <v>24.15761811056484</v>
      </c>
      <c r="W13" s="9"/>
      <c r="X13" s="9">
        <f t="shared" si="11"/>
        <v>9.8549484617497072</v>
      </c>
      <c r="Y13" t="str">
        <f t="shared" si="17"/>
        <v>Rubisco</v>
      </c>
    </row>
    <row r="14" spans="1:25" customFormat="1">
      <c r="A14" s="18" t="s">
        <v>39</v>
      </c>
      <c r="D14">
        <f t="shared" si="12"/>
        <v>39</v>
      </c>
      <c r="E14">
        <f t="shared" si="13"/>
        <v>375</v>
      </c>
      <c r="F14">
        <f t="shared" ref="F14:F16" si="20">IF($A$21="YES",$F13+$A$23/2,F$2)</f>
        <v>2000</v>
      </c>
      <c r="G14">
        <f t="shared" ref="G14:G23" si="21">$B$6*E14*((1.674-6.1294*10^-2*D14+1.1688*10^-3*D14^2-8.8741*10^-6*D14^3)/0.73547)</f>
        <v>190.90508967225023</v>
      </c>
      <c r="H14">
        <f t="shared" ref="H14:H23" si="22">EXP(-14.37--37.83/(0.008314*(D14+273.15)))</f>
        <v>1.2297690732248665</v>
      </c>
      <c r="I14">
        <f t="shared" si="2"/>
        <v>85.381883709804825</v>
      </c>
      <c r="J14">
        <f t="shared" ref="J14:J23" si="23">(EXP(38.0463-79.4275/(0.008314*(D14+273.15))))</f>
        <v>1704.3465762360493</v>
      </c>
      <c r="K14">
        <f t="shared" ref="K14:K23" si="24">EXP(20.3-36.38/(0.008314*(D14+273.15)))</f>
        <v>534.80069270643799</v>
      </c>
      <c r="L14">
        <f t="shared" ref="L14:L23" si="25">((0.85*(-30.74+0.206*(D14+273.15)-0.000337*(D14+273.15)^2)*0.5))*F14</f>
        <v>617.45803487500336</v>
      </c>
      <c r="M14">
        <f t="shared" ref="M14:M23" si="26">(-31.99+0.222*(273.15+D14)-0.000375*(273.15+D14)^2)</f>
        <v>0.7681915625000002</v>
      </c>
      <c r="N14">
        <f t="shared" ref="N14:N23" si="27">$B$3*(EXP(17.57-43.54/(0.008314*(D14+273.15))))</f>
        <v>265.19419133761238</v>
      </c>
      <c r="O14">
        <f t="shared" si="14"/>
        <v>232.60506422865836</v>
      </c>
      <c r="Q14">
        <f t="shared" si="15"/>
        <v>0.55275218771594725</v>
      </c>
      <c r="R14">
        <f t="shared" si="16"/>
        <v>0.8944956245681055</v>
      </c>
      <c r="T14" s="9">
        <f t="shared" ref="T14:T23" si="28">Q14*((EXP(26.35-65.33/((273.15+D14)*0.008314))*B$2)*G14)/(G14+J14*(1+(210/(K14))))-EXP(18.72-46.39/(0.008314*(D14+273.15)))*$B$4</f>
        <v>8.1177882990202548</v>
      </c>
      <c r="U14" s="9">
        <f t="shared" ref="U14:U23" si="29">Q14*(O14*G14)/($B$8*G14+$B$9*2*I14)-EXP(18.72-46.39/(0.008314*(D14+273.15)))*$B$4</f>
        <v>13.168652938179298</v>
      </c>
      <c r="V14" s="9">
        <f t="shared" ref="V14:V23" si="30">3*(((EXP(23.59-53.1/(0.008314*(D14+273)))/(1+EXP((0.65*(D14+273)-201.8)/(0.008314*(D14+273)))))/8.33447283719655)*$B$5)-EXP(18.72-46.39/(0.008314*(D14+273.15)))*$B$4</f>
        <v>20.524865045048006</v>
      </c>
      <c r="W14" s="9"/>
      <c r="X14" s="9">
        <f t="shared" ref="X14:X23" si="31">IF(G14&lt;(EXP(19.0185-37.8344/(0.008314*(D14+273.15)))),MIN(T14,V14),MIN(T14:V14))</f>
        <v>8.1177882990202548</v>
      </c>
      <c r="Y14" t="str">
        <f t="shared" si="17"/>
        <v>Rubisco</v>
      </c>
    </row>
    <row r="15" spans="1:25" customFormat="1">
      <c r="A15" s="19">
        <v>2</v>
      </c>
      <c r="D15">
        <f t="shared" si="12"/>
        <v>41</v>
      </c>
      <c r="E15">
        <f t="shared" si="13"/>
        <v>375</v>
      </c>
      <c r="F15">
        <f t="shared" si="20"/>
        <v>2000</v>
      </c>
      <c r="G15">
        <f t="shared" si="21"/>
        <v>183.48515289372773</v>
      </c>
      <c r="H15">
        <f t="shared" si="22"/>
        <v>1.1207798194219831</v>
      </c>
      <c r="I15">
        <f t="shared" si="2"/>
        <v>93.684770354048112</v>
      </c>
      <c r="J15">
        <f t="shared" si="23"/>
        <v>2070.9912052912014</v>
      </c>
      <c r="K15">
        <f t="shared" si="24"/>
        <v>584.72333641222644</v>
      </c>
      <c r="L15">
        <f t="shared" si="25"/>
        <v>608.85076487499566</v>
      </c>
      <c r="M15">
        <f t="shared" si="26"/>
        <v>0.74246656250000598</v>
      </c>
      <c r="N15">
        <f t="shared" si="27"/>
        <v>295.08734329720056</v>
      </c>
      <c r="O15">
        <f t="shared" si="14"/>
        <v>250.15732194751993</v>
      </c>
      <c r="Q15">
        <f t="shared" si="15"/>
        <v>0.48941498057715249</v>
      </c>
      <c r="R15">
        <f t="shared" si="16"/>
        <v>1.021170038845695</v>
      </c>
      <c r="T15" s="9">
        <f t="shared" si="28"/>
        <v>6.2545429342337115</v>
      </c>
      <c r="U15" s="9">
        <f t="shared" si="29"/>
        <v>11.098574330534715</v>
      </c>
      <c r="V15" s="9">
        <f t="shared" si="30"/>
        <v>16.165389626449389</v>
      </c>
      <c r="W15" s="9"/>
      <c r="X15" s="9">
        <f t="shared" si="31"/>
        <v>6.2545429342337115</v>
      </c>
      <c r="Y15" t="str">
        <f t="shared" si="17"/>
        <v>Rubisco</v>
      </c>
    </row>
    <row r="16" spans="1:25" customFormat="1">
      <c r="A16" s="18" t="s">
        <v>40</v>
      </c>
      <c r="D16">
        <f t="shared" si="12"/>
        <v>43</v>
      </c>
      <c r="E16">
        <f t="shared" si="13"/>
        <v>375</v>
      </c>
      <c r="F16">
        <f t="shared" si="20"/>
        <v>2000</v>
      </c>
      <c r="G16">
        <f t="shared" si="21"/>
        <v>176.28589128890363</v>
      </c>
      <c r="H16">
        <f t="shared" si="22"/>
        <v>1.0226498614750286</v>
      </c>
      <c r="I16">
        <f t="shared" si="2"/>
        <v>102.67443819779359</v>
      </c>
      <c r="J16">
        <f t="shared" si="23"/>
        <v>2510.3134982802649</v>
      </c>
      <c r="K16">
        <f t="shared" si="24"/>
        <v>638.58470457307999</v>
      </c>
      <c r="L16">
        <f t="shared" si="25"/>
        <v>597.95189487499977</v>
      </c>
      <c r="M16">
        <f t="shared" si="26"/>
        <v>0.71374156250001164</v>
      </c>
      <c r="N16">
        <f t="shared" si="27"/>
        <v>327.90668016631111</v>
      </c>
      <c r="O16">
        <f t="shared" si="14"/>
        <v>266.54151446938573</v>
      </c>
      <c r="Q16">
        <f t="shared" si="15"/>
        <v>0.41756860150806374</v>
      </c>
      <c r="R16">
        <f t="shared" si="16"/>
        <v>1.1648627969838725</v>
      </c>
      <c r="T16" s="9">
        <f t="shared" si="28"/>
        <v>4.2690095949871329</v>
      </c>
      <c r="U16" s="9">
        <f t="shared" si="29"/>
        <v>8.5851687993487431</v>
      </c>
      <c r="V16" s="9">
        <f t="shared" si="30"/>
        <v>11.75985269701491</v>
      </c>
      <c r="W16" s="9"/>
      <c r="X16" s="9">
        <f t="shared" si="31"/>
        <v>4.2690095949871329</v>
      </c>
      <c r="Y16" t="str">
        <f t="shared" si="17"/>
        <v>Rubisco</v>
      </c>
    </row>
    <row r="17" spans="1:27" customFormat="1">
      <c r="A17" s="20" t="s">
        <v>43</v>
      </c>
      <c r="D17">
        <f t="shared" si="12"/>
        <v>45</v>
      </c>
      <c r="E17">
        <f t="shared" si="13"/>
        <v>375</v>
      </c>
      <c r="F17">
        <f t="shared" ref="F17:F23" si="32">IF($A$21="YES",$F16+$A$23,F$2)</f>
        <v>2000</v>
      </c>
      <c r="G17">
        <f t="shared" si="21"/>
        <v>169.15527464580467</v>
      </c>
      <c r="H17">
        <f t="shared" si="22"/>
        <v>0.93418724722766988</v>
      </c>
      <c r="I17">
        <f t="shared" si="2"/>
        <v>112.39716696155085</v>
      </c>
      <c r="J17">
        <f t="shared" si="23"/>
        <v>3035.4789383550133</v>
      </c>
      <c r="K17">
        <f t="shared" si="24"/>
        <v>696.63527958952636</v>
      </c>
      <c r="L17">
        <f t="shared" si="25"/>
        <v>584.76142487500374</v>
      </c>
      <c r="M17">
        <f t="shared" si="26"/>
        <v>0.68201656250001008</v>
      </c>
      <c r="N17">
        <f t="shared" si="27"/>
        <v>363.89335169256105</v>
      </c>
      <c r="O17">
        <f t="shared" si="14"/>
        <v>281.12650902778148</v>
      </c>
      <c r="Q17">
        <f t="shared" si="15"/>
        <v>0.3355385033254209</v>
      </c>
      <c r="R17">
        <f t="shared" si="16"/>
        <v>1.3289229933491582</v>
      </c>
      <c r="T17" s="9">
        <f t="shared" si="28"/>
        <v>2.1609942794293477</v>
      </c>
      <c r="U17" s="9">
        <f t="shared" si="29"/>
        <v>5.6597976791348525</v>
      </c>
      <c r="V17" s="9">
        <f t="shared" si="30"/>
        <v>7.7819528620747285</v>
      </c>
      <c r="W17" s="9"/>
      <c r="X17" s="9">
        <f t="shared" si="31"/>
        <v>2.1609942794293477</v>
      </c>
      <c r="Y17" t="str">
        <f t="shared" si="17"/>
        <v>Rubisco</v>
      </c>
    </row>
    <row r="18" spans="1:27" customFormat="1">
      <c r="A18" s="18" t="s">
        <v>39</v>
      </c>
      <c r="D18">
        <f t="shared" si="12"/>
        <v>47</v>
      </c>
      <c r="E18">
        <f t="shared" si="13"/>
        <v>375</v>
      </c>
      <c r="F18">
        <f t="shared" si="32"/>
        <v>2000</v>
      </c>
      <c r="G18">
        <f t="shared" si="21"/>
        <v>161.94127275245737</v>
      </c>
      <c r="H18">
        <f t="shared" si="22"/>
        <v>0.85434215837506222</v>
      </c>
      <c r="I18">
        <f t="shared" si="2"/>
        <v>122.90157868330812</v>
      </c>
      <c r="J18">
        <f t="shared" si="23"/>
        <v>3661.8093459198353</v>
      </c>
      <c r="K18">
        <f t="shared" si="24"/>
        <v>759.13724861804383</v>
      </c>
      <c r="L18">
        <f t="shared" si="25"/>
        <v>569.27935487499542</v>
      </c>
      <c r="M18">
        <f t="shared" si="26"/>
        <v>0.6472915624999942</v>
      </c>
      <c r="N18">
        <f t="shared" si="27"/>
        <v>403.30438560342571</v>
      </c>
      <c r="O18">
        <f t="shared" si="14"/>
        <v>293.32907048357328</v>
      </c>
      <c r="Q18">
        <f t="shared" si="15"/>
        <v>0.24107315822338349</v>
      </c>
      <c r="R18">
        <f t="shared" si="16"/>
        <v>1.517853683553233</v>
      </c>
      <c r="T18" s="9">
        <f t="shared" si="28"/>
        <v>-7.2870162556587292E-2</v>
      </c>
      <c r="U18" s="9">
        <f t="shared" si="29"/>
        <v>2.3782713491907117</v>
      </c>
      <c r="V18" s="9">
        <f t="shared" si="30"/>
        <v>4.4306143215448808</v>
      </c>
      <c r="W18" s="9"/>
      <c r="X18" s="9">
        <f t="shared" si="31"/>
        <v>-7.2870162556587292E-2</v>
      </c>
      <c r="Y18" t="str">
        <f t="shared" si="17"/>
        <v>Rubisco</v>
      </c>
    </row>
    <row r="19" spans="1:27" customFormat="1">
      <c r="A19" s="19">
        <v>25</v>
      </c>
      <c r="D19">
        <f t="shared" si="12"/>
        <v>49</v>
      </c>
      <c r="E19">
        <f t="shared" si="13"/>
        <v>375</v>
      </c>
      <c r="F19">
        <f t="shared" si="32"/>
        <v>2000</v>
      </c>
      <c r="G19">
        <f t="shared" si="21"/>
        <v>154.49185539688884</v>
      </c>
      <c r="H19">
        <f t="shared" si="22"/>
        <v>0.78218868640526329</v>
      </c>
      <c r="I19">
        <f t="shared" si="2"/>
        <v>134.23870969363264</v>
      </c>
      <c r="J19">
        <f t="shared" si="23"/>
        <v>4407.0976532569384</v>
      </c>
      <c r="K19">
        <f t="shared" si="24"/>
        <v>826.36481194402347</v>
      </c>
      <c r="L19">
        <f t="shared" si="25"/>
        <v>551.50568487500493</v>
      </c>
      <c r="M19">
        <f t="shared" si="26"/>
        <v>0.60956656249999952</v>
      </c>
      <c r="N19">
        <f t="shared" si="27"/>
        <v>446.41343710382046</v>
      </c>
      <c r="O19">
        <f t="shared" si="14"/>
        <v>302.67195495376995</v>
      </c>
      <c r="Q19">
        <f t="shared" si="15"/>
        <v>0.13109523250417288</v>
      </c>
      <c r="R19">
        <f t="shared" si="16"/>
        <v>1.7378095349916542</v>
      </c>
      <c r="T19" s="9">
        <f t="shared" si="28"/>
        <v>-2.4383809693813396</v>
      </c>
      <c r="U19" s="9">
        <f t="shared" si="29"/>
        <v>-1.1826411818616647</v>
      </c>
      <c r="V19" s="9">
        <f t="shared" si="30"/>
        <v>1.7052780727338659</v>
      </c>
      <c r="W19" s="9"/>
      <c r="X19" s="9">
        <f t="shared" si="31"/>
        <v>-2.4383809693813396</v>
      </c>
      <c r="Y19" t="str">
        <f t="shared" si="17"/>
        <v>Rubisco</v>
      </c>
      <c r="AA19" s="15"/>
    </row>
    <row r="20" spans="1:27" customFormat="1">
      <c r="A20" s="18" t="s">
        <v>41</v>
      </c>
      <c r="D20">
        <f t="shared" si="12"/>
        <v>51</v>
      </c>
      <c r="E20">
        <f t="shared" si="13"/>
        <v>375</v>
      </c>
      <c r="F20">
        <f t="shared" si="32"/>
        <v>2000</v>
      </c>
      <c r="G20">
        <f t="shared" si="21"/>
        <v>146.65499236712569</v>
      </c>
      <c r="H20">
        <f t="shared" si="22"/>
        <v>0.71690910107457928</v>
      </c>
      <c r="I20">
        <f t="shared" si="2"/>
        <v>146.46208263030121</v>
      </c>
      <c r="J20">
        <f t="shared" si="23"/>
        <v>5291.9628023467531</v>
      </c>
      <c r="K20">
        <f t="shared" si="24"/>
        <v>898.60448911418644</v>
      </c>
      <c r="L20">
        <f t="shared" si="25"/>
        <v>531.44041487499612</v>
      </c>
      <c r="M20">
        <f t="shared" si="26"/>
        <v>0.56884156250000473</v>
      </c>
      <c r="N20">
        <f t="shared" si="27"/>
        <v>493.51155602927139</v>
      </c>
      <c r="O20">
        <f t="shared" si="14"/>
        <v>308.81498252545322</v>
      </c>
      <c r="Q20">
        <f t="shared" si="15"/>
        <v>1.315398362583875E-3</v>
      </c>
      <c r="R20">
        <f t="shared" si="16"/>
        <v>1.9973692032748323</v>
      </c>
      <c r="T20" s="9">
        <f t="shared" si="28"/>
        <v>-4.9431313679673581</v>
      </c>
      <c r="U20" s="9">
        <f t="shared" si="29"/>
        <v>-4.9316808706176687</v>
      </c>
      <c r="V20" s="9">
        <f t="shared" si="30"/>
        <v>-0.49182600262758136</v>
      </c>
      <c r="W20" s="9"/>
      <c r="X20" s="9">
        <f t="shared" si="31"/>
        <v>-4.9431313679673581</v>
      </c>
      <c r="Y20" t="str">
        <f t="shared" si="17"/>
        <v>Rubisco</v>
      </c>
    </row>
    <row r="21" spans="1:27" customFormat="1">
      <c r="A21" s="19" t="s">
        <v>43</v>
      </c>
      <c r="D21">
        <f t="shared" si="12"/>
        <v>53</v>
      </c>
      <c r="E21">
        <f t="shared" si="13"/>
        <v>375</v>
      </c>
      <c r="F21">
        <f t="shared" si="32"/>
        <v>2000</v>
      </c>
      <c r="G21">
        <f t="shared" si="21"/>
        <v>138.27865345119434</v>
      </c>
      <c r="H21">
        <f t="shared" si="22"/>
        <v>0.65778025007577312</v>
      </c>
      <c r="I21">
        <f t="shared" si="2"/>
        <v>159.62777840761333</v>
      </c>
      <c r="J21">
        <f t="shared" si="23"/>
        <v>6340.2490924511267</v>
      </c>
      <c r="K21">
        <f t="shared" si="24"/>
        <v>976.15542244181677</v>
      </c>
      <c r="L21">
        <f t="shared" si="25"/>
        <v>509.0835448750052</v>
      </c>
      <c r="M21">
        <f t="shared" si="26"/>
        <v>0.52511656250000982</v>
      </c>
      <c r="N21">
        <f t="shared" si="27"/>
        <v>544.9079712334227</v>
      </c>
      <c r="O21">
        <f t="shared" si="14"/>
        <v>311.55306147389302</v>
      </c>
      <c r="Q21">
        <f t="shared" si="15"/>
        <v>-0.15439205129339939</v>
      </c>
      <c r="R21">
        <f t="shared" si="16"/>
        <v>2.3087841025867988</v>
      </c>
      <c r="T21" s="9">
        <f t="shared" si="28"/>
        <v>-7.5959933979007506</v>
      </c>
      <c r="U21" s="9">
        <f t="shared" si="29"/>
        <v>-8.7703412604178048</v>
      </c>
      <c r="V21" s="9">
        <f t="shared" si="30"/>
        <v>-2.2847786291244474</v>
      </c>
      <c r="W21" s="9"/>
      <c r="X21" s="9">
        <f t="shared" si="31"/>
        <v>-7.5959933979007506</v>
      </c>
      <c r="Y21" t="str">
        <f t="shared" si="17"/>
        <v>Rubisco</v>
      </c>
    </row>
    <row r="22" spans="1:27" customFormat="1">
      <c r="A22" s="18" t="s">
        <v>39</v>
      </c>
      <c r="D22">
        <f t="shared" si="12"/>
        <v>55</v>
      </c>
      <c r="E22">
        <f t="shared" si="13"/>
        <v>375</v>
      </c>
      <c r="F22">
        <f t="shared" si="32"/>
        <v>2000</v>
      </c>
      <c r="G22">
        <f t="shared" si="21"/>
        <v>129.2108084371217</v>
      </c>
      <c r="H22">
        <f t="shared" si="22"/>
        <v>0.60416178379164376</v>
      </c>
      <c r="I22">
        <f t="shared" si="2"/>
        <v>173.79450805549655</v>
      </c>
      <c r="J22">
        <f t="shared" si="23"/>
        <v>7579.4746772119615</v>
      </c>
      <c r="K22">
        <f t="shared" si="24"/>
        <v>1059.3296775032604</v>
      </c>
      <c r="L22">
        <f t="shared" si="25"/>
        <v>484.43507487499596</v>
      </c>
      <c r="M22">
        <f t="shared" si="26"/>
        <v>0.47839156250000769</v>
      </c>
      <c r="N22">
        <f t="shared" si="27"/>
        <v>600.9308917538425</v>
      </c>
      <c r="O22">
        <f t="shared" si="14"/>
        <v>310.78892980841852</v>
      </c>
      <c r="Q22">
        <f t="shared" si="15"/>
        <v>-0.34504620904117922</v>
      </c>
      <c r="R22">
        <f t="shared" si="16"/>
        <v>2.6900924180823584</v>
      </c>
      <c r="T22" s="9">
        <f t="shared" si="28"/>
        <v>-10.406711266354286</v>
      </c>
      <c r="U22" s="9">
        <f t="shared" si="29"/>
        <v>-12.598729999922151</v>
      </c>
      <c r="V22" s="9">
        <f t="shared" si="30"/>
        <v>-3.7891524926622364</v>
      </c>
      <c r="W22" s="9"/>
      <c r="X22" s="9">
        <f t="shared" si="31"/>
        <v>-10.406711266354286</v>
      </c>
      <c r="Y22" t="str">
        <f t="shared" si="17"/>
        <v>Rubisco</v>
      </c>
    </row>
    <row r="23" spans="1:27" customFormat="1">
      <c r="A23" s="19">
        <v>100</v>
      </c>
      <c r="D23">
        <f t="shared" si="12"/>
        <v>57</v>
      </c>
      <c r="E23">
        <f t="shared" si="13"/>
        <v>375</v>
      </c>
      <c r="F23">
        <f t="shared" si="32"/>
        <v>2000</v>
      </c>
      <c r="G23">
        <f t="shared" si="21"/>
        <v>119.2994271129344</v>
      </c>
      <c r="H23">
        <f t="shared" si="22"/>
        <v>0.55548594539667107</v>
      </c>
      <c r="I23">
        <f t="shared" si="2"/>
        <v>189.02368434366016</v>
      </c>
      <c r="J23">
        <f t="shared" si="23"/>
        <v>9041.3343068930008</v>
      </c>
      <c r="K23">
        <f t="shared" si="24"/>
        <v>1148.4525402499912</v>
      </c>
      <c r="L23">
        <f t="shared" si="25"/>
        <v>457.49500487499864</v>
      </c>
      <c r="M23">
        <f t="shared" si="26"/>
        <v>0.42866656250001256</v>
      </c>
      <c r="N23">
        <f t="shared" si="27"/>
        <v>661.9283242663796</v>
      </c>
      <c r="O23">
        <f t="shared" si="14"/>
        <v>306.49480879198495</v>
      </c>
      <c r="Q23">
        <f t="shared" si="15"/>
        <v>-0.58444754445234293</v>
      </c>
      <c r="R23">
        <f t="shared" si="16"/>
        <v>3.1688950889046859</v>
      </c>
      <c r="T23" s="9">
        <f t="shared" si="28"/>
        <v>-13.385592079574597</v>
      </c>
      <c r="U23" s="9">
        <f t="shared" si="29"/>
        <v>-16.3189261468412</v>
      </c>
      <c r="V23" s="9">
        <f t="shared" si="30"/>
        <v>-5.1001894536557577</v>
      </c>
      <c r="W23" s="9"/>
      <c r="X23" s="9">
        <f t="shared" si="31"/>
        <v>-13.385592079574597</v>
      </c>
      <c r="Y23" t="str">
        <f t="shared" si="17"/>
        <v>Rubisco</v>
      </c>
    </row>
    <row r="24" spans="1:27" customFormat="1">
      <c r="D24">
        <f t="shared" si="12"/>
        <v>59</v>
      </c>
      <c r="E24">
        <f t="shared" si="13"/>
        <v>375</v>
      </c>
      <c r="F24">
        <f>IF($A$21="YES",$F23+$A$23*2,F$2)</f>
        <v>2000</v>
      </c>
      <c r="G24">
        <f t="shared" ref="G24:G27" si="33">$B$6*E24*((1.674-6.1294*10^-2*D24+1.1688*10^-3*D24^2-8.8741*10^-6*D24^3)/0.73547)</f>
        <v>108.39247926665925</v>
      </c>
      <c r="H24">
        <f t="shared" ref="H24:H27" si="34">EXP(-14.37--37.83/(0.008314*(D24+273.15)))</f>
        <v>0.51124870556388169</v>
      </c>
      <c r="I24">
        <f t="shared" ref="I24:I27" si="35">0.5*$B$7/H24</f>
        <v>205.37949310637424</v>
      </c>
      <c r="J24">
        <f t="shared" ref="J24:J27" si="36">(EXP(38.0463-79.4275/(0.008314*(D24+273.15))))</f>
        <v>10762.261830519708</v>
      </c>
      <c r="K24">
        <f t="shared" ref="K24:K27" si="37">EXP(20.3-36.38/(0.008314*(D24+273.15)))</f>
        <v>1243.8628103670726</v>
      </c>
      <c r="L24">
        <f t="shared" ref="L24:L27" si="38">((0.85*(-30.74+0.206*(D24+273.15)-0.000337*(D24+273.15)^2)*0.5))*F24</f>
        <v>428.2633348750071</v>
      </c>
      <c r="M24">
        <f t="shared" ref="M24:M27" si="39">(-31.99+0.222*(273.15+D24)-0.000375*(273.15+D24)^2)</f>
        <v>0.3759415625000031</v>
      </c>
      <c r="N24">
        <f t="shared" ref="N24:N27" si="40">$B$3*(EXP(17.57-43.54/(0.008314*(D24+273.15))))</f>
        <v>728.26890630553532</v>
      </c>
      <c r="O24">
        <f t="shared" ref="O24:O27" si="41">(L24+N24-SQRT((L24+N24)^2-4*M24*L24*N24))/(2*M24)</f>
        <v>298.67513998488488</v>
      </c>
      <c r="Q24">
        <f t="shared" si="15"/>
        <v>-0.89477622890343378</v>
      </c>
      <c r="R24">
        <f t="shared" si="16"/>
        <v>3.7895524578068676</v>
      </c>
      <c r="T24" s="9">
        <f t="shared" ref="T24:T27" si="42">Q24*((EXP(26.35-65.33/((273.15+D24)*0.008314))*B$2)*G24)/(G24+J24*(1+(210/(K24))))-EXP(18.72-46.39/(0.008314*(D24+273.15)))*$B$4</f>
        <v>-16.543278589791228</v>
      </c>
      <c r="U24" s="9">
        <f t="shared" ref="U24:U27" si="43">Q24*(O24*G24)/($B$8*G24+$B$9*2*I24)-EXP(18.72-46.39/(0.008314*(D24+273.15)))*$B$4</f>
        <v>-19.83584345909405</v>
      </c>
      <c r="V24" s="9">
        <f t="shared" ref="V24:V27" si="44">3*(((EXP(23.59-53.1/(0.008314*(D24+273)))/(1+EXP((0.65*(D24+273)-201.8)/(0.008314*(D24+273)))))/8.33447283719655)*$B$5)-EXP(18.72-46.39/(0.008314*(D24+273.15)))*$B$4</f>
        <v>-6.292004175508926</v>
      </c>
      <c r="W24" s="9"/>
      <c r="X24" s="9">
        <f t="shared" ref="X24:X27" si="45">IF(G24&lt;(EXP(19.0185-37.8344/(0.008314*(D24+273.15)))),MIN(T24,V24),MIN(T24:V24))</f>
        <v>-16.543278589791228</v>
      </c>
      <c r="Y24" t="str">
        <f t="shared" ref="Y24:Y27" si="46">IF(X24=T24,"Rubisco",IF(X24=U24,"Jmax","TPU"))</f>
        <v>Rubisco</v>
      </c>
    </row>
    <row r="25" spans="1:27" customFormat="1">
      <c r="D25">
        <f t="shared" si="12"/>
        <v>61</v>
      </c>
      <c r="E25">
        <f t="shared" si="13"/>
        <v>375</v>
      </c>
      <c r="F25">
        <f t="shared" ref="F25:F27" si="47">IF($A$21="YES",$F24+$A$23*2,F$2)</f>
        <v>2000</v>
      </c>
      <c r="G25">
        <f t="shared" si="33"/>
        <v>96.337934686322896</v>
      </c>
      <c r="H25">
        <f t="shared" si="34"/>
        <v>0.47100205388007926</v>
      </c>
      <c r="I25">
        <f t="shared" si="35"/>
        <v>222.92896418395196</v>
      </c>
      <c r="J25">
        <f t="shared" si="36"/>
        <v>12784.058415570174</v>
      </c>
      <c r="K25">
        <f t="shared" si="37"/>
        <v>1345.9130905161501</v>
      </c>
      <c r="L25">
        <f t="shared" si="38"/>
        <v>396.74006487499724</v>
      </c>
      <c r="M25">
        <f t="shared" si="39"/>
        <v>0.32021656250000063</v>
      </c>
      <c r="N25">
        <f t="shared" si="40"/>
        <v>800.34275469661657</v>
      </c>
      <c r="O25">
        <f t="shared" si="41"/>
        <v>287.33675001349042</v>
      </c>
      <c r="Q25">
        <f t="shared" si="15"/>
        <v>-1.3140309672385078</v>
      </c>
      <c r="R25">
        <f t="shared" si="16"/>
        <v>4.6280619344770155</v>
      </c>
      <c r="T25" s="9">
        <f t="shared" si="42"/>
        <v>-19.890588882123183</v>
      </c>
      <c r="U25" s="9">
        <f t="shared" si="43"/>
        <v>-23.056246903827954</v>
      </c>
      <c r="V25" s="9">
        <f t="shared" si="44"/>
        <v>-7.4208404051139913</v>
      </c>
      <c r="W25" s="9"/>
      <c r="X25" s="9">
        <f t="shared" si="45"/>
        <v>-19.890588882123183</v>
      </c>
      <c r="Y25" t="str">
        <f t="shared" si="46"/>
        <v>Rubisco</v>
      </c>
    </row>
    <row r="26" spans="1:27" customFormat="1">
      <c r="D26">
        <f t="shared" si="12"/>
        <v>63</v>
      </c>
      <c r="E26">
        <f t="shared" si="13"/>
        <v>375</v>
      </c>
      <c r="F26">
        <f t="shared" si="47"/>
        <v>2000</v>
      </c>
      <c r="G26">
        <f t="shared" si="33"/>
        <v>82.98376315995192</v>
      </c>
      <c r="H26">
        <f t="shared" si="34"/>
        <v>0.43434728678451195</v>
      </c>
      <c r="I26">
        <f t="shared" si="35"/>
        <v>241.7420418976682</v>
      </c>
      <c r="J26">
        <f t="shared" si="36"/>
        <v>15154.592909998757</v>
      </c>
      <c r="K26">
        <f t="shared" si="37"/>
        <v>1454.9700711088494</v>
      </c>
      <c r="L26">
        <f t="shared" si="38"/>
        <v>362.92519487500522</v>
      </c>
      <c r="M26">
        <f t="shared" si="39"/>
        <v>0.26149156250000516</v>
      </c>
      <c r="N26">
        <f t="shared" si="40"/>
        <v>878.56232861492026</v>
      </c>
      <c r="O26">
        <f t="shared" si="41"/>
        <v>272.46764009270862</v>
      </c>
      <c r="Q26">
        <f t="shared" si="15"/>
        <v>-1.9131246004318738</v>
      </c>
      <c r="R26">
        <f t="shared" si="16"/>
        <v>5.8262492008637476</v>
      </c>
      <c r="T26" s="9">
        <f t="shared" si="42"/>
        <v>-23.438409414507277</v>
      </c>
      <c r="U26" s="9">
        <f t="shared" si="43"/>
        <v>-25.886671764934452</v>
      </c>
      <c r="V26" s="9">
        <f t="shared" si="44"/>
        <v>-8.5291372723701606</v>
      </c>
      <c r="W26" s="9"/>
      <c r="X26" s="9">
        <f t="shared" si="45"/>
        <v>-23.438409414507277</v>
      </c>
      <c r="Y26" t="str">
        <f t="shared" si="46"/>
        <v>Rubisco</v>
      </c>
    </row>
    <row r="27" spans="1:27" customFormat="1">
      <c r="D27">
        <f t="shared" si="12"/>
        <v>65</v>
      </c>
      <c r="E27">
        <f t="shared" si="13"/>
        <v>375</v>
      </c>
      <c r="F27">
        <f t="shared" si="47"/>
        <v>2000</v>
      </c>
      <c r="G27">
        <f t="shared" si="33"/>
        <v>68.17793447557321</v>
      </c>
      <c r="H27">
        <f t="shared" si="34"/>
        <v>0.40092915526365019</v>
      </c>
      <c r="I27">
        <f t="shared" si="35"/>
        <v>261.8916549756832</v>
      </c>
      <c r="J27">
        <f t="shared" si="36"/>
        <v>17928.581263141714</v>
      </c>
      <c r="K27">
        <f t="shared" si="37"/>
        <v>1571.4148102650126</v>
      </c>
      <c r="L27">
        <f t="shared" si="38"/>
        <v>326.81872487500101</v>
      </c>
      <c r="M27">
        <f t="shared" si="39"/>
        <v>0.19976656250000957</v>
      </c>
      <c r="N27">
        <f t="shared" si="40"/>
        <v>963.36330665788307</v>
      </c>
      <c r="O27">
        <f t="shared" si="41"/>
        <v>254.02277370213665</v>
      </c>
      <c r="Q27">
        <f t="shared" si="15"/>
        <v>-2.8412964104906071</v>
      </c>
      <c r="R27">
        <f t="shared" si="16"/>
        <v>7.6825928209812142</v>
      </c>
      <c r="T27" s="9">
        <f t="shared" si="42"/>
        <v>-27.197629762197899</v>
      </c>
      <c r="U27" s="9">
        <f t="shared" si="43"/>
        <v>-28.230804053325578</v>
      </c>
      <c r="V27" s="9">
        <f t="shared" si="44"/>
        <v>-9.6491725214249229</v>
      </c>
      <c r="W27" s="9"/>
      <c r="X27" s="9">
        <f t="shared" si="45"/>
        <v>-27.197629762197899</v>
      </c>
      <c r="Y27" t="str">
        <f t="shared" si="46"/>
        <v>Rubisco</v>
      </c>
    </row>
    <row r="32" spans="1:27">
      <c r="P32" s="5"/>
      <c r="Q32" s="5"/>
      <c r="R32" s="5"/>
    </row>
    <row r="44" spans="2:2">
      <c r="B44" s="1"/>
    </row>
    <row r="45" spans="2:2">
      <c r="B45" s="2"/>
    </row>
    <row r="46" spans="2:2">
      <c r="B46" s="2"/>
    </row>
    <row r="47" spans="2:2">
      <c r="B47" s="1"/>
    </row>
    <row r="48" spans="2:2">
      <c r="B48" s="1"/>
    </row>
  </sheetData>
  <phoneticPr fontId="3" type="noConversion"/>
  <pageMargins left="0.75" right="0.75" top="1" bottom="1" header="0.5" footer="0.5"/>
  <pageSetup orientation="portrait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L16" sqref="L16"/>
    </sheetView>
  </sheetViews>
  <sheetFormatPr defaultColWidth="11" defaultRowHeight="12.75"/>
  <cols>
    <col min="1" max="1" width="21.125" customWidth="1"/>
    <col min="2" max="2" width="11.25" style="9" customWidth="1"/>
  </cols>
  <sheetData>
    <row r="1" spans="1:7">
      <c r="A1" s="6" t="s">
        <v>24</v>
      </c>
      <c r="B1" s="12" t="s">
        <v>25</v>
      </c>
      <c r="D1" t="s">
        <v>37</v>
      </c>
      <c r="E1" s="15" t="s">
        <v>2</v>
      </c>
      <c r="F1" s="15" t="s">
        <v>36</v>
      </c>
    </row>
    <row r="2" spans="1:7">
      <c r="A2" t="s">
        <v>3</v>
      </c>
      <c r="B2" s="13">
        <v>90</v>
      </c>
      <c r="D2">
        <v>5</v>
      </c>
      <c r="E2">
        <f>((((0.85*(-30.74+0.206*($B$12+273.15)-0.000337*($B$12+273.15)^2)*0.5))*D2)+$B$24-SQRT(((((0.85*(-30.74+0.206*($B$12+273.15)-0.000337*($B$12+273.15)^2)*0.5))*D2)+$B$24)^2-4*(-31.99+0.222*(273.15+$B$12)-0.000375*(273.15+$B$12)^2)*(((0.85*(-30.74+0.206*($B$12+273.15)-0.000337*($B$12+273.15)^2)*0.5))*D2)*$B$24))/(2*(-31.99+0.222*(273.15+$B$12)-0.000375*(273.15+$B$12)^2))</f>
        <v>1.5313954867290331</v>
      </c>
      <c r="F2">
        <f>$B$27*(E2*$B$16)/($B$8*$B$16+$B$9*2*$B$18)-EXP(18.72-46.39/(0.008314*($B$12+273.15)))*$B$4</f>
        <v>-0.89159983583216662</v>
      </c>
      <c r="G2">
        <f>(E2*$B$16)/($B$8*$B$16+$B$9*2*0)-EXP(18.72-46.39/(0.008314*($B$12+273.15)))*$B$4</f>
        <v>-0.72315535008088516</v>
      </c>
    </row>
    <row r="3" spans="1:7">
      <c r="A3" t="s">
        <v>4</v>
      </c>
      <c r="B3" s="13">
        <v>130</v>
      </c>
      <c r="D3">
        <v>10</v>
      </c>
      <c r="E3">
        <f t="shared" ref="E3:E9" si="0">((((0.85*(-30.74+0.206*($B$12+273.15)-0.000337*($B$12+273.15)^2)*0.5))*D3)+$B$24-SQRT(((((0.85*(-30.74+0.206*($B$12+273.15)-0.000337*($B$12+273.15)^2)*0.5))*D3)+$B$24)^2-4*(-31.99+0.222*(273.15+$B$12)-0.000375*(273.15+$B$12)^2)*(((0.85*(-30.74+0.206*($B$12+273.15)-0.000337*($B$12+273.15)^2)*0.5))*D3)*$B$24))/(2*(-31.99+0.222*(273.15+$B$12)-0.000375*(273.15+$B$12)^2))</f>
        <v>3.0577760460108614</v>
      </c>
      <c r="F3">
        <f t="shared" ref="F3:F9" si="1">$B$27*(E3*$B$16)/($B$8*$B$16+$B$9*2*$B$18)-EXP(18.72-46.39/(0.008314*($B$12+273.15)))*$B$4</f>
        <v>-0.67789756927474421</v>
      </c>
      <c r="G3">
        <f t="shared" ref="G3:G9" si="2">(E3*$B$16)/($B$8*$B$16+$B$9*2*0)-EXP(18.72-46.39/(0.008314*($B$12+273.15)))*$B$4</f>
        <v>-0.34156021026042804</v>
      </c>
    </row>
    <row r="4" spans="1:7">
      <c r="A4" t="s">
        <v>5</v>
      </c>
      <c r="B4" s="13">
        <v>1.1000000000000001</v>
      </c>
      <c r="D4">
        <v>15</v>
      </c>
      <c r="E4">
        <f t="shared" si="0"/>
        <v>4.5790112031481689</v>
      </c>
      <c r="F4">
        <f t="shared" si="1"/>
        <v>-0.46491568931681515</v>
      </c>
      <c r="G4">
        <f t="shared" si="2"/>
        <v>3.8748579023898833E-2</v>
      </c>
    </row>
    <row r="5" spans="1:7">
      <c r="A5" t="s">
        <v>6</v>
      </c>
      <c r="B5" s="13">
        <v>7</v>
      </c>
      <c r="D5">
        <v>20</v>
      </c>
      <c r="E5">
        <f t="shared" si="0"/>
        <v>6.0949670242092937</v>
      </c>
      <c r="F5">
        <f t="shared" si="1"/>
        <v>-0.25267294749749625</v>
      </c>
      <c r="G5">
        <f t="shared" si="2"/>
        <v>0.41773753428918003</v>
      </c>
    </row>
    <row r="6" spans="1:7">
      <c r="A6" t="s">
        <v>7</v>
      </c>
      <c r="B6" s="13">
        <v>0.7</v>
      </c>
      <c r="D6">
        <v>25</v>
      </c>
      <c r="E6">
        <f t="shared" si="0"/>
        <v>7.6055060610807477</v>
      </c>
      <c r="F6">
        <f t="shared" si="1"/>
        <v>-4.118858736205433E-2</v>
      </c>
      <c r="G6">
        <f t="shared" si="2"/>
        <v>0.79537229350704353</v>
      </c>
    </row>
    <row r="7" spans="1:7">
      <c r="A7" t="s">
        <v>8</v>
      </c>
      <c r="B7" s="13">
        <v>250</v>
      </c>
      <c r="D7">
        <v>30</v>
      </c>
      <c r="E7">
        <f t="shared" si="0"/>
        <v>9.1104873000631166</v>
      </c>
      <c r="F7">
        <f t="shared" si="1"/>
        <v>0.16951764834121841</v>
      </c>
      <c r="G7">
        <f t="shared" si="2"/>
        <v>1.1716176032526358</v>
      </c>
    </row>
    <row r="8" spans="1:7">
      <c r="A8" s="8" t="s">
        <v>28</v>
      </c>
      <c r="B8" s="13">
        <v>4</v>
      </c>
      <c r="D8">
        <v>35</v>
      </c>
      <c r="E8">
        <f t="shared" si="0"/>
        <v>10.609766114549528</v>
      </c>
      <c r="F8">
        <f t="shared" si="1"/>
        <v>0.37942551103570987</v>
      </c>
      <c r="G8">
        <f t="shared" si="2"/>
        <v>1.5464373068742385</v>
      </c>
    </row>
    <row r="9" spans="1:7">
      <c r="A9" s="8" t="s">
        <v>27</v>
      </c>
      <c r="B9" s="14">
        <f>B8*1.166666</f>
        <v>4.6666639999999999</v>
      </c>
      <c r="D9">
        <v>40</v>
      </c>
      <c r="E9">
        <f t="shared" si="0"/>
        <v>12.103194222367067</v>
      </c>
      <c r="F9">
        <f t="shared" si="1"/>
        <v>0.58851424034403643</v>
      </c>
      <c r="G9">
        <f t="shared" si="2"/>
        <v>1.9197943338286234</v>
      </c>
    </row>
    <row r="12" spans="1:7">
      <c r="A12" s="4" t="s">
        <v>0</v>
      </c>
      <c r="B12" s="13">
        <v>25</v>
      </c>
    </row>
    <row r="13" spans="1:7">
      <c r="A13" s="4" t="s">
        <v>9</v>
      </c>
      <c r="B13" s="13">
        <v>385</v>
      </c>
    </row>
    <row r="14" spans="1:7">
      <c r="A14" s="4" t="s">
        <v>10</v>
      </c>
      <c r="B14" s="13">
        <v>1000</v>
      </c>
    </row>
    <row r="15" spans="1:7" s="1" customFormat="1">
      <c r="A15" s="5"/>
      <c r="B15" s="14"/>
    </row>
    <row r="16" spans="1:7">
      <c r="A16" s="4" t="s">
        <v>11</v>
      </c>
      <c r="B16" s="9">
        <f>$B$6*B13*((1.674-6.1294*10^-2*B12+1.1688*10^-3*B12^2-8.8741*10^-6*B12^3)/0.73547)</f>
        <v>268.77526551898785</v>
      </c>
    </row>
    <row r="17" spans="1:2">
      <c r="A17" s="4" t="s">
        <v>12</v>
      </c>
      <c r="B17" s="9">
        <f>EXP(-14.37--37.83/(0.008314*(B12+273.15)))</f>
        <v>2.4382954791474436</v>
      </c>
    </row>
    <row r="18" spans="1:2">
      <c r="A18" s="4" t="s">
        <v>13</v>
      </c>
      <c r="B18" s="9">
        <f>0.5*$B$7/B17</f>
        <v>51.265320823096708</v>
      </c>
    </row>
    <row r="19" spans="1:2">
      <c r="A19" s="4" t="s">
        <v>29</v>
      </c>
      <c r="B19" s="9">
        <f>2*B18/B16</f>
        <v>0.38147350147050663</v>
      </c>
    </row>
    <row r="20" spans="1:2">
      <c r="A20" s="4" t="s">
        <v>14</v>
      </c>
      <c r="B20" s="9">
        <f>(EXP(38.0463-79.4275/(0.008314*(B12+273.15))))</f>
        <v>404.97470697071208</v>
      </c>
    </row>
    <row r="21" spans="1:2">
      <c r="A21" s="4" t="s">
        <v>15</v>
      </c>
      <c r="B21" s="9">
        <f>EXP(20.3-36.38/(0.008314*(B12+273.15)))</f>
        <v>276.9000847896117</v>
      </c>
    </row>
    <row r="22" spans="1:2">
      <c r="A22" s="4" t="s">
        <v>16</v>
      </c>
      <c r="B22" s="9">
        <f>((0.85*(-30.74+0.206*(B12+273.15)-0.000337*(B12+273.15)^2)*0.5))*B14</f>
        <v>306.77206243749998</v>
      </c>
    </row>
    <row r="23" spans="1:2">
      <c r="A23" s="4" t="s">
        <v>17</v>
      </c>
      <c r="B23" s="9">
        <f>(-31.99+0.222*(273.15+B12)-0.000375*(273.15+B12)^2)</f>
        <v>0.86426656250001344</v>
      </c>
    </row>
    <row r="24" spans="1:2">
      <c r="A24" s="4" t="s">
        <v>1</v>
      </c>
      <c r="B24" s="9">
        <f>$B$3*(EXP(17.57-43.54/(0.008314*(B12+273.15))))</f>
        <v>130.67574303552578</v>
      </c>
    </row>
    <row r="25" spans="1:2">
      <c r="A25" s="4" t="s">
        <v>2</v>
      </c>
      <c r="B25" s="9">
        <f>(B22+B24-SQRT((B22+B24)^2-4*B23*B22*B24))/(2*B23)</f>
        <v>120.17126223098326</v>
      </c>
    </row>
    <row r="26" spans="1:2">
      <c r="A26" s="7" t="s">
        <v>33</v>
      </c>
      <c r="B26" s="9">
        <f>EXP(18.72-46.39/(0.008314*(B12+273.15)))*$B$4</f>
        <v>1.1060042217631434</v>
      </c>
    </row>
    <row r="27" spans="1:2">
      <c r="A27" s="4" t="s">
        <v>22</v>
      </c>
      <c r="B27" s="9">
        <f>(1-B18/B16)</f>
        <v>0.80926324926474669</v>
      </c>
    </row>
    <row r="28" spans="1:2">
      <c r="A28" s="4"/>
    </row>
    <row r="29" spans="1:2">
      <c r="A29" s="4"/>
    </row>
    <row r="30" spans="1:2">
      <c r="A30" s="7" t="s">
        <v>19</v>
      </c>
      <c r="B30" s="9">
        <f>B27*((EXP(26.35-65.33/((273.15+B12)*0.008314))*B$2)*B16)/(B16+B20*(1+(210/(B21))))-B26</f>
        <v>18.746125251304925</v>
      </c>
    </row>
    <row r="31" spans="1:2">
      <c r="A31" s="7" t="s">
        <v>20</v>
      </c>
      <c r="B31" s="9">
        <f>B27*(B25*B16)/($B$8*B16+$B$9*2*B18)-EXP(18.72-46.39/(0.008314*(B12+273.15)))*$B$4</f>
        <v>15.718680132124653</v>
      </c>
    </row>
    <row r="32" spans="1:2">
      <c r="A32" s="7" t="s">
        <v>21</v>
      </c>
      <c r="B32" s="9">
        <f>3*(((EXP(23.59-53.1/(0.008314*(B12+273)))/(1+EXP((0.65*(B12+273)-201.8)/(0.008314*(B12+273)))))/8.33447283719655)*$B$5)-EXP(18.72-46.39/(0.008314*(B12+273.15)))*$B$4</f>
        <v>19.893995778236846</v>
      </c>
    </row>
    <row r="33" spans="1:7">
      <c r="A33" s="7"/>
    </row>
    <row r="35" spans="1:7">
      <c r="C35" t="s">
        <v>34</v>
      </c>
      <c r="D35" t="s">
        <v>35</v>
      </c>
      <c r="E35" s="15" t="s">
        <v>2</v>
      </c>
      <c r="F35" s="15" t="s">
        <v>23</v>
      </c>
    </row>
    <row r="36" spans="1:7">
      <c r="A36" s="7" t="s">
        <v>18</v>
      </c>
      <c r="B36" s="9">
        <f>IF(B16&lt;(EXP(19.0185-37.8344/(0.008314*(B12+273.15)))),MIN(B30,B32),MIN(B30:B32))</f>
        <v>15.718680132124653</v>
      </c>
    </row>
    <row r="37" spans="1:7">
      <c r="A37" s="4" t="s">
        <v>30</v>
      </c>
      <c r="B37" s="9">
        <f>(B36+B26)/(1-B18/B16)</f>
        <v>20.790125301221579</v>
      </c>
      <c r="C37" s="8">
        <f>2*B37</f>
        <v>41.580250602443158</v>
      </c>
      <c r="D37" s="8">
        <f>3*B37</f>
        <v>62.370375903664737</v>
      </c>
      <c r="E37" s="8">
        <f>B8*B37</f>
        <v>83.160501204886316</v>
      </c>
      <c r="F37" s="16">
        <f>SLOPE(F2:F9,D2:D9)</f>
        <v>4.2290948352131506E-2</v>
      </c>
      <c r="G37" s="17"/>
    </row>
    <row r="38" spans="1:7">
      <c r="A38" s="4" t="s">
        <v>31</v>
      </c>
      <c r="B38" s="9">
        <f>B19*B37</f>
        <v>7.930881894667567</v>
      </c>
      <c r="C38" s="8">
        <f>2*B19*B37</f>
        <v>15.861763789335134</v>
      </c>
      <c r="D38" s="8">
        <f>3.5*B19*B37</f>
        <v>27.758086631336486</v>
      </c>
      <c r="E38" s="8">
        <f>B9*B37*B19</f>
        <v>37.01076102609693</v>
      </c>
      <c r="F38" s="16">
        <f>SLOPE(G2:G9,D2:D9)-F37</f>
        <v>3.3225425945354124E-2</v>
      </c>
      <c r="G38" s="17"/>
    </row>
    <row r="39" spans="1:7">
      <c r="A39" s="4" t="s">
        <v>32</v>
      </c>
      <c r="B39" s="9">
        <f>B37-B36-B38*0.5</f>
        <v>1.1060042217631421</v>
      </c>
    </row>
    <row r="40" spans="1:7">
      <c r="F40" s="16">
        <f>SUM(F37:F38)</f>
        <v>7.5516374297485631E-2</v>
      </c>
    </row>
    <row r="43" spans="1:7">
      <c r="A43" s="5"/>
      <c r="B43" s="14"/>
    </row>
  </sheetData>
  <phoneticPr fontId="3" type="noConversion"/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Basic Worksheet</vt:lpstr>
      <vt:lpstr>Energy Partitioning</vt:lpstr>
    </vt:vector>
  </TitlesOfParts>
  <Company>USDA/ARS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Bernacchi</dc:creator>
  <cp:lastModifiedBy>andyvanl</cp:lastModifiedBy>
  <dcterms:created xsi:type="dcterms:W3CDTF">2009-07-08T21:32:36Z</dcterms:created>
  <dcterms:modified xsi:type="dcterms:W3CDTF">2012-09-13T16:14:10Z</dcterms:modified>
</cp:coreProperties>
</file>